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5F4699-1710-4448-A923-1F427A6834A6}" xr6:coauthVersionLast="47" xr6:coauthVersionMax="47" xr10:uidLastSave="{00000000-0000-0000-0000-000000000000}"/>
  <bookViews>
    <workbookView xWindow="-103" yWindow="-103" windowWidth="33120" windowHeight="18120" tabRatio="563" activeTab="5" xr2:uid="{00000000-000D-0000-FFFF-FFFF00000000}"/>
  </bookViews>
  <sheets>
    <sheet name="Filter1" sheetId="2" r:id="rId1"/>
    <sheet name="Filter2-查詢1" sheetId="9" r:id="rId2"/>
    <sheet name="Filter2-查詢2" sheetId="13" r:id="rId3"/>
    <sheet name="Filter3-多條件" sheetId="10" r:id="rId4"/>
    <sheet name="Filter4-sort" sheetId="11" r:id="rId5"/>
    <sheet name="Filter5-陣列-choose" sheetId="15" r:id="rId6"/>
    <sheet name="Filter6-date" sheetId="14" r:id="rId7"/>
    <sheet name="Filter函數" sheetId="8" r:id="rId8"/>
    <sheet name="國家代码" sheetId="4" r:id="rId9"/>
    <sheet name="staff1" sheetId="5" r:id="rId10"/>
    <sheet name="staff1 (2)" sheetId="18" r:id="rId11"/>
    <sheet name="staff2" sheetId="6" r:id="rId12"/>
    <sheet name="item" sheetId="7" r:id="rId13"/>
    <sheet name="Filter函數w" sheetId="1" r:id="rId14"/>
    <sheet name="choose" sheetId="17" r:id="rId15"/>
  </sheets>
  <externalReferences>
    <externalReference r:id="rId16"/>
  </externalReferences>
  <definedNames>
    <definedName name="_xlnm._FilterDatabase" localSheetId="0" hidden="1">Filter1!$N$1:$W$54</definedName>
    <definedName name="_xlnm._FilterDatabase" localSheetId="1" hidden="1">'Filter2-查詢1'!$N$1:$W$54</definedName>
    <definedName name="_xlnm._FilterDatabase" localSheetId="2" hidden="1">'Filter2-查詢2'!$O$1:$AB$54</definedName>
    <definedName name="_xlnm._FilterDatabase" localSheetId="3" hidden="1">'Filter3-多條件'!$O$1:$AA$54</definedName>
    <definedName name="_xlnm._FilterDatabase" localSheetId="4" hidden="1">'Filter4-sort'!$N$1:$Z$54</definedName>
    <definedName name="_xlnm._FilterDatabase" localSheetId="5" hidden="1">'Filter5-陣列-choose'!$O$1:$AB$54</definedName>
    <definedName name="_xlnm._FilterDatabase" localSheetId="6" hidden="1">'Filter6-date'!$O$1:$Z$54</definedName>
    <definedName name="staff">Filter1!$A$2:$K$54</definedName>
    <definedName name="月份">item!$E$1:$E$13</definedName>
    <definedName name="到職日期" localSheetId="4">'Filter4-sort'!$I$2:$I$54</definedName>
    <definedName name="到職日期">'Filter3-多條件'!$I$2:$I$54</definedName>
    <definedName name="組別">item!$B$1:$B$6</definedName>
    <definedName name="組別清單" localSheetId="5">'Filter5-陣列-choose'!$C:$C</definedName>
    <definedName name="組別清單">'Filter2-查詢2'!$C:$C</definedName>
    <definedName name="職稱">item!$D$2:$D$15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8" l="1"/>
  <c r="M54" i="18" s="1"/>
  <c r="B53" i="18"/>
  <c r="M53" i="18" s="1"/>
  <c r="B52" i="18"/>
  <c r="M52" i="18" s="1"/>
  <c r="B51" i="18"/>
  <c r="M51" i="18" s="1"/>
  <c r="B50" i="18"/>
  <c r="M50" i="18" s="1"/>
  <c r="B49" i="18"/>
  <c r="M49" i="18" s="1"/>
  <c r="B48" i="18"/>
  <c r="M48" i="18" s="1"/>
  <c r="B47" i="18"/>
  <c r="M47" i="18" s="1"/>
  <c r="B46" i="18"/>
  <c r="M46" i="18" s="1"/>
  <c r="B45" i="18"/>
  <c r="M45" i="18" s="1"/>
  <c r="B44" i="18"/>
  <c r="M44" i="18" s="1"/>
  <c r="B43" i="18"/>
  <c r="M43" i="18" s="1"/>
  <c r="B42" i="18"/>
  <c r="M42" i="18" s="1"/>
  <c r="B41" i="18"/>
  <c r="M41" i="18" s="1"/>
  <c r="B40" i="18"/>
  <c r="M40" i="18" s="1"/>
  <c r="B39" i="18"/>
  <c r="M39" i="18" s="1"/>
  <c r="B38" i="18"/>
  <c r="M38" i="18" s="1"/>
  <c r="B37" i="18"/>
  <c r="M37" i="18" s="1"/>
  <c r="B36" i="18"/>
  <c r="M36" i="18" s="1"/>
  <c r="B35" i="18"/>
  <c r="M35" i="18" s="1"/>
  <c r="B34" i="18"/>
  <c r="M34" i="18" s="1"/>
  <c r="B33" i="18"/>
  <c r="M33" i="18" s="1"/>
  <c r="B32" i="18"/>
  <c r="M32" i="18" s="1"/>
  <c r="B31" i="18"/>
  <c r="M31" i="18" s="1"/>
  <c r="B30" i="18"/>
  <c r="M30" i="18" s="1"/>
  <c r="B29" i="18"/>
  <c r="M29" i="18" s="1"/>
  <c r="B28" i="18"/>
  <c r="M28" i="18" s="1"/>
  <c r="B27" i="18"/>
  <c r="M27" i="18" s="1"/>
  <c r="B26" i="18"/>
  <c r="M26" i="18" s="1"/>
  <c r="B25" i="18"/>
  <c r="M25" i="18" s="1"/>
  <c r="B24" i="18"/>
  <c r="M24" i="18" s="1"/>
  <c r="B23" i="18"/>
  <c r="M23" i="18" s="1"/>
  <c r="B22" i="18"/>
  <c r="M22" i="18" s="1"/>
  <c r="B21" i="18"/>
  <c r="M21" i="18" s="1"/>
  <c r="B20" i="18"/>
  <c r="M20" i="18" s="1"/>
  <c r="B19" i="18"/>
  <c r="M19" i="18" s="1"/>
  <c r="B18" i="18"/>
  <c r="M18" i="18" s="1"/>
  <c r="B17" i="18"/>
  <c r="M17" i="18" s="1"/>
  <c r="B16" i="18"/>
  <c r="M16" i="18" s="1"/>
  <c r="B15" i="18"/>
  <c r="M15" i="18" s="1"/>
  <c r="B14" i="18"/>
  <c r="M14" i="18" s="1"/>
  <c r="B13" i="18"/>
  <c r="M13" i="18" s="1"/>
  <c r="B12" i="18"/>
  <c r="M12" i="18" s="1"/>
  <c r="B11" i="18"/>
  <c r="M11" i="18" s="1"/>
  <c r="B10" i="18"/>
  <c r="M10" i="18" s="1"/>
  <c r="B9" i="18"/>
  <c r="M9" i="18" s="1"/>
  <c r="B8" i="18"/>
  <c r="M8" i="18" s="1"/>
  <c r="B7" i="18"/>
  <c r="M7" i="18" s="1"/>
  <c r="B6" i="18"/>
  <c r="M6" i="18" s="1"/>
  <c r="B5" i="18"/>
  <c r="M5" i="18" s="1"/>
  <c r="B4" i="18"/>
  <c r="M4" i="18" s="1"/>
  <c r="B3" i="18"/>
  <c r="M3" i="18" s="1"/>
  <c r="B2" i="18"/>
  <c r="M2" i="18" s="1"/>
  <c r="R2" i="18" s="1"/>
  <c r="V6" i="14" a="1"/>
  <c r="V6" i="14" s="1"/>
  <c r="V5" i="14" a="1"/>
  <c r="V5" i="14" s="1"/>
  <c r="W13" i="14" a="1"/>
  <c r="W13" i="14" s="1"/>
  <c r="V13" i="14" a="1"/>
  <c r="V13" i="14" s="1"/>
  <c r="AA2" i="14"/>
  <c r="AB2" i="14" s="1"/>
  <c r="X7" i="15" a="1"/>
  <c r="X7" i="15" s="1"/>
  <c r="X16" i="15" a="1"/>
  <c r="X16" i="15" s="1"/>
  <c r="A28" i="17"/>
  <c r="A26" i="17"/>
  <c r="A9" i="17"/>
  <c r="E8" i="17"/>
  <c r="A8" i="17"/>
  <c r="A3" i="18" l="1"/>
  <c r="L3" i="18" s="1"/>
  <c r="A7" i="18"/>
  <c r="L7" i="18" s="1"/>
  <c r="A11" i="18"/>
  <c r="L11" i="18" s="1"/>
  <c r="A15" i="18"/>
  <c r="L15" i="18" s="1"/>
  <c r="A19" i="18"/>
  <c r="L19" i="18" s="1"/>
  <c r="A23" i="18"/>
  <c r="L23" i="18" s="1"/>
  <c r="A27" i="18"/>
  <c r="L27" i="18" s="1"/>
  <c r="A31" i="18"/>
  <c r="L31" i="18" s="1"/>
  <c r="A35" i="18"/>
  <c r="L35" i="18" s="1"/>
  <c r="A39" i="18"/>
  <c r="L39" i="18" s="1"/>
  <c r="A43" i="18"/>
  <c r="L43" i="18" s="1"/>
  <c r="A47" i="18"/>
  <c r="L47" i="18" s="1"/>
  <c r="A51" i="18"/>
  <c r="L51" i="18" s="1"/>
  <c r="A4" i="18"/>
  <c r="L4" i="18" s="1"/>
  <c r="A8" i="18"/>
  <c r="L8" i="18" s="1"/>
  <c r="A12" i="18"/>
  <c r="L12" i="18" s="1"/>
  <c r="A16" i="18"/>
  <c r="L16" i="18" s="1"/>
  <c r="A20" i="18"/>
  <c r="L20" i="18" s="1"/>
  <c r="A24" i="18"/>
  <c r="L24" i="18" s="1"/>
  <c r="A28" i="18"/>
  <c r="L28" i="18" s="1"/>
  <c r="A32" i="18"/>
  <c r="L32" i="18" s="1"/>
  <c r="A36" i="18"/>
  <c r="L36" i="18" s="1"/>
  <c r="A40" i="18"/>
  <c r="L40" i="18" s="1"/>
  <c r="A44" i="18"/>
  <c r="L44" i="18" s="1"/>
  <c r="A48" i="18"/>
  <c r="L48" i="18" s="1"/>
  <c r="A52" i="18"/>
  <c r="L52" i="18" s="1"/>
  <c r="A5" i="18"/>
  <c r="L5" i="18" s="1"/>
  <c r="A9" i="18"/>
  <c r="L9" i="18" s="1"/>
  <c r="A13" i="18"/>
  <c r="L13" i="18" s="1"/>
  <c r="A17" i="18"/>
  <c r="L17" i="18" s="1"/>
  <c r="A21" i="18"/>
  <c r="L21" i="18" s="1"/>
  <c r="A25" i="18"/>
  <c r="L25" i="18" s="1"/>
  <c r="A29" i="18"/>
  <c r="L29" i="18" s="1"/>
  <c r="A33" i="18"/>
  <c r="L33" i="18" s="1"/>
  <c r="A37" i="18"/>
  <c r="L37" i="18" s="1"/>
  <c r="A41" i="18"/>
  <c r="L41" i="18" s="1"/>
  <c r="A45" i="18"/>
  <c r="L45" i="18" s="1"/>
  <c r="A49" i="18"/>
  <c r="L49" i="18" s="1"/>
  <c r="A53" i="18"/>
  <c r="L53" i="18" s="1"/>
  <c r="A2" i="18"/>
  <c r="L2" i="18" s="1"/>
  <c r="Q2" i="18" s="1"/>
  <c r="A6" i="18"/>
  <c r="L6" i="18" s="1"/>
  <c r="A10" i="18"/>
  <c r="L10" i="18" s="1"/>
  <c r="A14" i="18"/>
  <c r="L14" i="18" s="1"/>
  <c r="A18" i="18"/>
  <c r="L18" i="18" s="1"/>
  <c r="A22" i="18"/>
  <c r="L22" i="18" s="1"/>
  <c r="A26" i="18"/>
  <c r="L26" i="18" s="1"/>
  <c r="A30" i="18"/>
  <c r="L30" i="18" s="1"/>
  <c r="A34" i="18"/>
  <c r="L34" i="18" s="1"/>
  <c r="A38" i="18"/>
  <c r="L38" i="18" s="1"/>
  <c r="A42" i="18"/>
  <c r="L42" i="18" s="1"/>
  <c r="A46" i="18"/>
  <c r="L46" i="18" s="1"/>
  <c r="A50" i="18"/>
  <c r="L50" i="18" s="1"/>
  <c r="A54" i="18"/>
  <c r="L54" i="18" s="1"/>
  <c r="J54" i="15"/>
  <c r="B54" i="15"/>
  <c r="A54" i="15" s="1"/>
  <c r="J53" i="15"/>
  <c r="B53" i="15"/>
  <c r="A53" i="15" s="1"/>
  <c r="J52" i="15"/>
  <c r="B52" i="15"/>
  <c r="A52" i="15" s="1"/>
  <c r="J51" i="15"/>
  <c r="B51" i="15"/>
  <c r="A51" i="15" s="1"/>
  <c r="J50" i="15"/>
  <c r="B50" i="15"/>
  <c r="A50" i="15" s="1"/>
  <c r="J49" i="15"/>
  <c r="B49" i="15"/>
  <c r="A49" i="15" s="1"/>
  <c r="J48" i="15"/>
  <c r="B48" i="15"/>
  <c r="A48" i="15" s="1"/>
  <c r="J47" i="15"/>
  <c r="B47" i="15"/>
  <c r="A47" i="15" s="1"/>
  <c r="J46" i="15"/>
  <c r="B46" i="15"/>
  <c r="A46" i="15" s="1"/>
  <c r="J45" i="15"/>
  <c r="B45" i="15"/>
  <c r="A45" i="15" s="1"/>
  <c r="J44" i="15"/>
  <c r="B44" i="15"/>
  <c r="A44" i="15" s="1"/>
  <c r="J43" i="15"/>
  <c r="B43" i="15"/>
  <c r="A43" i="15" s="1"/>
  <c r="J42" i="15"/>
  <c r="B42" i="15"/>
  <c r="A42" i="15" s="1"/>
  <c r="Y41" i="15"/>
  <c r="J41" i="15"/>
  <c r="B41" i="15"/>
  <c r="A41" i="15" s="1"/>
  <c r="J40" i="15"/>
  <c r="B40" i="15"/>
  <c r="A40" i="15" s="1"/>
  <c r="J39" i="15"/>
  <c r="B39" i="15"/>
  <c r="A39" i="15" s="1"/>
  <c r="J38" i="15"/>
  <c r="B38" i="15"/>
  <c r="A38" i="15" s="1"/>
  <c r="J37" i="15"/>
  <c r="B37" i="15"/>
  <c r="A37" i="15" s="1"/>
  <c r="J36" i="15"/>
  <c r="B36" i="15"/>
  <c r="A36" i="15" s="1"/>
  <c r="J35" i="15"/>
  <c r="B35" i="15"/>
  <c r="A35" i="15" s="1"/>
  <c r="J34" i="15"/>
  <c r="B34" i="15"/>
  <c r="A34" i="15" s="1"/>
  <c r="J33" i="15"/>
  <c r="B33" i="15"/>
  <c r="A33" i="15" s="1"/>
  <c r="X32" i="15" a="1"/>
  <c r="X32" i="15" s="1"/>
  <c r="J32" i="15"/>
  <c r="B32" i="15"/>
  <c r="A32" i="15" s="1"/>
  <c r="J31" i="15"/>
  <c r="B31" i="15"/>
  <c r="A31" i="15" s="1"/>
  <c r="J30" i="15"/>
  <c r="B30" i="15"/>
  <c r="A30" i="15" s="1"/>
  <c r="J29" i="15"/>
  <c r="B29" i="15"/>
  <c r="A29" i="15" s="1"/>
  <c r="J28" i="15"/>
  <c r="B28" i="15"/>
  <c r="A28" i="15" s="1"/>
  <c r="J27" i="15"/>
  <c r="B27" i="15"/>
  <c r="A27" i="15" s="1"/>
  <c r="J26" i="15"/>
  <c r="B26" i="15"/>
  <c r="A26" i="15" s="1"/>
  <c r="Y25" i="15"/>
  <c r="J25" i="15"/>
  <c r="B25" i="15"/>
  <c r="A25" i="15" s="1"/>
  <c r="J24" i="15"/>
  <c r="B24" i="15"/>
  <c r="A24" i="15" s="1"/>
  <c r="J23" i="15"/>
  <c r="B23" i="15"/>
  <c r="A23" i="15" s="1"/>
  <c r="J22" i="15"/>
  <c r="B22" i="15"/>
  <c r="A22" i="15" s="1"/>
  <c r="J21" i="15"/>
  <c r="B21" i="15"/>
  <c r="A21" i="15" s="1"/>
  <c r="J20" i="15"/>
  <c r="B20" i="15"/>
  <c r="A20" i="15" s="1"/>
  <c r="J19" i="15"/>
  <c r="B19" i="15"/>
  <c r="A19" i="15" s="1"/>
  <c r="J18" i="15"/>
  <c r="B18" i="15"/>
  <c r="A18" i="15" s="1"/>
  <c r="J17" i="15"/>
  <c r="B17" i="15"/>
  <c r="A17" i="15" s="1"/>
  <c r="J16" i="15"/>
  <c r="B16" i="15"/>
  <c r="A16" i="15" s="1"/>
  <c r="J15" i="15"/>
  <c r="B15" i="15"/>
  <c r="A15" i="15"/>
  <c r="J14" i="15"/>
  <c r="B14" i="15"/>
  <c r="A14" i="15" s="1"/>
  <c r="Y13" i="15"/>
  <c r="J13" i="15"/>
  <c r="B13" i="15"/>
  <c r="A13" i="15" s="1"/>
  <c r="J12" i="15"/>
  <c r="B12" i="15"/>
  <c r="A12" i="15" s="1"/>
  <c r="J11" i="15"/>
  <c r="B11" i="15"/>
  <c r="A11" i="15" s="1"/>
  <c r="J10" i="15"/>
  <c r="B10" i="15"/>
  <c r="A10" i="15"/>
  <c r="J9" i="15"/>
  <c r="B9" i="15"/>
  <c r="A9" i="15" s="1"/>
  <c r="J8" i="15"/>
  <c r="B8" i="15"/>
  <c r="A8" i="15" s="1"/>
  <c r="J7" i="15"/>
  <c r="B7" i="15"/>
  <c r="A7" i="15" s="1"/>
  <c r="J6" i="15"/>
  <c r="B6" i="15"/>
  <c r="A6" i="15" s="1"/>
  <c r="J5" i="15"/>
  <c r="B5" i="15"/>
  <c r="A5" i="15" s="1"/>
  <c r="J4" i="15"/>
  <c r="B4" i="15"/>
  <c r="A4" i="15" s="1"/>
  <c r="J3" i="15"/>
  <c r="B3" i="15"/>
  <c r="A3" i="15"/>
  <c r="V2" i="15" a="1"/>
  <c r="V2" i="15" s="1"/>
  <c r="R2" i="15"/>
  <c r="J2" i="15"/>
  <c r="B2" i="15"/>
  <c r="A2" i="15" s="1"/>
  <c r="Q1" i="15" a="1"/>
  <c r="Q1" i="15" s="1"/>
  <c r="Y26" i="10"/>
  <c r="Z26" i="10"/>
  <c r="X26" i="10"/>
  <c r="Y25" i="10"/>
  <c r="Z25" i="10"/>
  <c r="X25" i="10"/>
  <c r="X15" i="10"/>
  <c r="Y15" i="10"/>
  <c r="Z15" i="10"/>
  <c r="Y14" i="10"/>
  <c r="Z14" i="10"/>
  <c r="X14" i="10"/>
  <c r="W30" i="10" a="1"/>
  <c r="W30" i="10" s="1"/>
  <c r="W19" i="10" a="1"/>
  <c r="W19" i="10" s="1"/>
  <c r="R6" i="10" a="1"/>
  <c r="R6" i="10" s="1"/>
  <c r="S6" i="10" a="1"/>
  <c r="S6" i="10" s="1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2" i="10"/>
  <c r="W2" i="10" a="1"/>
  <c r="W2" i="10" s="1"/>
  <c r="S2" i="2" a="1"/>
  <c r="S2" i="2" s="1"/>
  <c r="Y13" i="13"/>
  <c r="X7" i="13" a="1"/>
  <c r="X7" i="13" s="1"/>
  <c r="X16" i="13" a="1"/>
  <c r="X16" i="13" s="1"/>
  <c r="S13" i="9" a="1"/>
  <c r="S13" i="9" s="1"/>
  <c r="Q1" i="13" a="1"/>
  <c r="Q1" i="13" s="1"/>
  <c r="J54" i="14"/>
  <c r="B54" i="14"/>
  <c r="A54" i="14" s="1"/>
  <c r="J53" i="14"/>
  <c r="B53" i="14"/>
  <c r="A53" i="14" s="1"/>
  <c r="J52" i="14"/>
  <c r="B52" i="14"/>
  <c r="A52" i="14" s="1"/>
  <c r="J51" i="14"/>
  <c r="B51" i="14"/>
  <c r="A51" i="14" s="1"/>
  <c r="J50" i="14"/>
  <c r="B50" i="14"/>
  <c r="A50" i="14" s="1"/>
  <c r="J49" i="14"/>
  <c r="B49" i="14"/>
  <c r="A49" i="14" s="1"/>
  <c r="J48" i="14"/>
  <c r="B48" i="14"/>
  <c r="A48" i="14" s="1"/>
  <c r="J47" i="14"/>
  <c r="B47" i="14"/>
  <c r="A47" i="14" s="1"/>
  <c r="J46" i="14"/>
  <c r="B46" i="14"/>
  <c r="A46" i="14"/>
  <c r="J45" i="14"/>
  <c r="B45" i="14"/>
  <c r="A45" i="14" s="1"/>
  <c r="J44" i="14"/>
  <c r="B44" i="14"/>
  <c r="A44" i="14" s="1"/>
  <c r="J43" i="14"/>
  <c r="B43" i="14"/>
  <c r="A43" i="14"/>
  <c r="J42" i="14"/>
  <c r="B42" i="14"/>
  <c r="A42" i="14" s="1"/>
  <c r="J41" i="14"/>
  <c r="B41" i="14"/>
  <c r="A41" i="14"/>
  <c r="J40" i="14"/>
  <c r="B40" i="14"/>
  <c r="A40" i="14"/>
  <c r="J39" i="14"/>
  <c r="B39" i="14"/>
  <c r="A39" i="14" s="1"/>
  <c r="J38" i="14"/>
  <c r="B38" i="14"/>
  <c r="A38" i="14" s="1"/>
  <c r="J37" i="14"/>
  <c r="B37" i="14"/>
  <c r="A37" i="14" s="1"/>
  <c r="J36" i="14"/>
  <c r="B36" i="14"/>
  <c r="A36" i="14" s="1"/>
  <c r="J35" i="14"/>
  <c r="B35" i="14"/>
  <c r="A35" i="14" s="1"/>
  <c r="J34" i="14"/>
  <c r="B34" i="14"/>
  <c r="A34" i="14" s="1"/>
  <c r="J33" i="14"/>
  <c r="B33" i="14"/>
  <c r="A33" i="14" s="1"/>
  <c r="J32" i="14"/>
  <c r="B32" i="14"/>
  <c r="A32" i="14" s="1"/>
  <c r="J31" i="14"/>
  <c r="B31" i="14"/>
  <c r="A31" i="14" s="1"/>
  <c r="J30" i="14"/>
  <c r="B30" i="14"/>
  <c r="A30" i="14" s="1"/>
  <c r="J29" i="14"/>
  <c r="B29" i="14"/>
  <c r="A29" i="14"/>
  <c r="J28" i="14"/>
  <c r="B28" i="14"/>
  <c r="A28" i="14" s="1"/>
  <c r="J27" i="14"/>
  <c r="B27" i="14"/>
  <c r="A27" i="14" s="1"/>
  <c r="J26" i="14"/>
  <c r="B26" i="14"/>
  <c r="A26" i="14" s="1"/>
  <c r="J25" i="14"/>
  <c r="B25" i="14"/>
  <c r="A25" i="14" s="1"/>
  <c r="J24" i="14"/>
  <c r="B24" i="14"/>
  <c r="A24" i="14" s="1"/>
  <c r="J23" i="14"/>
  <c r="B23" i="14"/>
  <c r="A23" i="14"/>
  <c r="J22" i="14"/>
  <c r="B22" i="14"/>
  <c r="A22" i="14" s="1"/>
  <c r="J21" i="14"/>
  <c r="B21" i="14"/>
  <c r="A21" i="14" s="1"/>
  <c r="J20" i="14"/>
  <c r="B20" i="14"/>
  <c r="A20" i="14" s="1"/>
  <c r="J19" i="14"/>
  <c r="B19" i="14"/>
  <c r="A19" i="14" s="1"/>
  <c r="J18" i="14"/>
  <c r="B18" i="14"/>
  <c r="A18" i="14" s="1"/>
  <c r="J17" i="14"/>
  <c r="B17" i="14"/>
  <c r="A17" i="14"/>
  <c r="J16" i="14"/>
  <c r="B16" i="14"/>
  <c r="A16" i="14" s="1"/>
  <c r="J15" i="14"/>
  <c r="B15" i="14"/>
  <c r="A15" i="14" s="1"/>
  <c r="J14" i="14"/>
  <c r="B14" i="14"/>
  <c r="A14" i="14"/>
  <c r="J13" i="14"/>
  <c r="B13" i="14"/>
  <c r="A13" i="14"/>
  <c r="J12" i="14"/>
  <c r="B12" i="14"/>
  <c r="A12" i="14" s="1"/>
  <c r="J11" i="14"/>
  <c r="B11" i="14"/>
  <c r="A11" i="14"/>
  <c r="J10" i="14"/>
  <c r="B10" i="14"/>
  <c r="A10" i="14" s="1"/>
  <c r="J9" i="14"/>
  <c r="B9" i="14"/>
  <c r="A9" i="14" s="1"/>
  <c r="J8" i="14"/>
  <c r="B8" i="14"/>
  <c r="A8" i="14"/>
  <c r="J7" i="14"/>
  <c r="B7" i="14"/>
  <c r="A7" i="14"/>
  <c r="J6" i="14"/>
  <c r="B6" i="14"/>
  <c r="A6" i="14"/>
  <c r="J5" i="14"/>
  <c r="B5" i="14"/>
  <c r="A5" i="14"/>
  <c r="J4" i="14"/>
  <c r="B4" i="14"/>
  <c r="A4" i="14" s="1"/>
  <c r="J3" i="14"/>
  <c r="B3" i="14"/>
  <c r="A3" i="14"/>
  <c r="Q2" i="14"/>
  <c r="J2" i="14"/>
  <c r="B2" i="14"/>
  <c r="A2" i="14" s="1"/>
  <c r="R1" i="14" a="1"/>
  <c r="R1" i="14" s="1"/>
  <c r="R2" i="13"/>
  <c r="J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P1" i="7" a="1"/>
  <c r="P1" i="7" s="1"/>
  <c r="O1" i="7" a="1"/>
  <c r="O1" i="7" s="1"/>
  <c r="N1" i="7" a="1"/>
  <c r="N1" i="7" s="1"/>
  <c r="J1" i="7" a="1"/>
  <c r="J1" i="7" s="1"/>
  <c r="V2" i="13" a="1"/>
  <c r="V2" i="13" s="1"/>
  <c r="B54" i="13"/>
  <c r="A54" i="13" s="1"/>
  <c r="B53" i="13"/>
  <c r="A53" i="13" s="1"/>
  <c r="B52" i="13"/>
  <c r="A52" i="13" s="1"/>
  <c r="B51" i="13"/>
  <c r="A51" i="13" s="1"/>
  <c r="B50" i="13"/>
  <c r="A50" i="13" s="1"/>
  <c r="B49" i="13"/>
  <c r="A49" i="13" s="1"/>
  <c r="B48" i="13"/>
  <c r="A48" i="13" s="1"/>
  <c r="B47" i="13"/>
  <c r="A47" i="13" s="1"/>
  <c r="B46" i="13"/>
  <c r="A46" i="13" s="1"/>
  <c r="B45" i="13"/>
  <c r="A45" i="13" s="1"/>
  <c r="B44" i="13"/>
  <c r="A44" i="13" s="1"/>
  <c r="B43" i="13"/>
  <c r="A43" i="13" s="1"/>
  <c r="B42" i="13"/>
  <c r="A42" i="13" s="1"/>
  <c r="B41" i="13"/>
  <c r="A41" i="13" s="1"/>
  <c r="B40" i="13"/>
  <c r="A40" i="13" s="1"/>
  <c r="B39" i="13"/>
  <c r="A39" i="13" s="1"/>
  <c r="B38" i="13"/>
  <c r="A38" i="13" s="1"/>
  <c r="B37" i="13"/>
  <c r="A37" i="13" s="1"/>
  <c r="B36" i="13"/>
  <c r="A36" i="13" s="1"/>
  <c r="B35" i="13"/>
  <c r="A35" i="13" s="1"/>
  <c r="B34" i="13"/>
  <c r="A34" i="13" s="1"/>
  <c r="B33" i="13"/>
  <c r="A33" i="13" s="1"/>
  <c r="B32" i="13"/>
  <c r="A32" i="13" s="1"/>
  <c r="B31" i="13"/>
  <c r="A31" i="13" s="1"/>
  <c r="B30" i="13"/>
  <c r="A30" i="13" s="1"/>
  <c r="B29" i="13"/>
  <c r="A29" i="13" s="1"/>
  <c r="B28" i="13"/>
  <c r="A28" i="13" s="1"/>
  <c r="B27" i="13"/>
  <c r="A27" i="13" s="1"/>
  <c r="B26" i="13"/>
  <c r="A26" i="13" s="1"/>
  <c r="B25" i="13"/>
  <c r="A25" i="13" s="1"/>
  <c r="B24" i="13"/>
  <c r="A24" i="13" s="1"/>
  <c r="B23" i="13"/>
  <c r="A23" i="13" s="1"/>
  <c r="B22" i="13"/>
  <c r="A22" i="13" s="1"/>
  <c r="B21" i="13"/>
  <c r="A21" i="13" s="1"/>
  <c r="B20" i="13"/>
  <c r="A20" i="13" s="1"/>
  <c r="B19" i="13"/>
  <c r="A19" i="13" s="1"/>
  <c r="B18" i="13"/>
  <c r="A18" i="13" s="1"/>
  <c r="B17" i="13"/>
  <c r="A17" i="13" s="1"/>
  <c r="B16" i="13"/>
  <c r="A16" i="13" s="1"/>
  <c r="B15" i="13"/>
  <c r="A15" i="13" s="1"/>
  <c r="B14" i="13"/>
  <c r="A14" i="13" s="1"/>
  <c r="B13" i="13"/>
  <c r="A13" i="13" s="1"/>
  <c r="B12" i="13"/>
  <c r="A12" i="13" s="1"/>
  <c r="B11" i="13"/>
  <c r="A11" i="13" s="1"/>
  <c r="B10" i="13"/>
  <c r="A10" i="13" s="1"/>
  <c r="B9" i="13"/>
  <c r="A9" i="13" s="1"/>
  <c r="B8" i="13"/>
  <c r="A8" i="13" s="1"/>
  <c r="B7" i="13"/>
  <c r="A7" i="13" s="1"/>
  <c r="B6" i="13"/>
  <c r="A6" i="13" s="1"/>
  <c r="B5" i="13"/>
  <c r="A5" i="13" s="1"/>
  <c r="B4" i="13"/>
  <c r="A4" i="13" s="1"/>
  <c r="B3" i="13"/>
  <c r="A3" i="13" s="1"/>
  <c r="B2" i="13"/>
  <c r="A2" i="13" s="1"/>
  <c r="V2" i="10" a="1"/>
  <c r="V2" i="10" s="1"/>
  <c r="I1" i="7" a="1"/>
  <c r="I1" i="7" s="1"/>
  <c r="U2" i="11" a="1"/>
  <c r="U2" i="11" s="1"/>
  <c r="W16" i="11"/>
  <c r="X16" i="11"/>
  <c r="Y16" i="11"/>
  <c r="Z16" i="11"/>
  <c r="AA16" i="11"/>
  <c r="AB16" i="11"/>
  <c r="AC16" i="11"/>
  <c r="AD16" i="11"/>
  <c r="AE16" i="11"/>
  <c r="AF16" i="11"/>
  <c r="V16" i="11"/>
  <c r="U17" i="11" a="1"/>
  <c r="U17" i="11" s="1"/>
  <c r="B54" i="11"/>
  <c r="A54" i="11" s="1"/>
  <c r="B53" i="11"/>
  <c r="A53" i="11" s="1"/>
  <c r="B52" i="11"/>
  <c r="A52" i="11" s="1"/>
  <c r="B51" i="11"/>
  <c r="A51" i="11" s="1"/>
  <c r="B50" i="11"/>
  <c r="A50" i="11" s="1"/>
  <c r="B49" i="11"/>
  <c r="A49" i="11" s="1"/>
  <c r="B48" i="11"/>
  <c r="A48" i="11" s="1"/>
  <c r="B47" i="11"/>
  <c r="A47" i="11" s="1"/>
  <c r="B46" i="11"/>
  <c r="A46" i="11" s="1"/>
  <c r="B45" i="11"/>
  <c r="A45" i="11" s="1"/>
  <c r="B44" i="11"/>
  <c r="A44" i="11" s="1"/>
  <c r="B43" i="11"/>
  <c r="A43" i="11" s="1"/>
  <c r="B42" i="11"/>
  <c r="A42" i="11" s="1"/>
  <c r="B41" i="11"/>
  <c r="A41" i="11" s="1"/>
  <c r="B40" i="11"/>
  <c r="A40" i="11" s="1"/>
  <c r="B39" i="11"/>
  <c r="A39" i="11" s="1"/>
  <c r="B38" i="11"/>
  <c r="A38" i="11" s="1"/>
  <c r="B37" i="11"/>
  <c r="A37" i="11" s="1"/>
  <c r="B36" i="11"/>
  <c r="A36" i="11" s="1"/>
  <c r="B35" i="11"/>
  <c r="A35" i="11" s="1"/>
  <c r="B34" i="11"/>
  <c r="A34" i="11" s="1"/>
  <c r="B33" i="11"/>
  <c r="A33" i="11" s="1"/>
  <c r="B32" i="11"/>
  <c r="A32" i="11" s="1"/>
  <c r="B31" i="11"/>
  <c r="A31" i="11" s="1"/>
  <c r="B30" i="11"/>
  <c r="A30" i="11" s="1"/>
  <c r="B29" i="11"/>
  <c r="A29" i="11" s="1"/>
  <c r="B28" i="11"/>
  <c r="A28" i="11" s="1"/>
  <c r="B27" i="11"/>
  <c r="A27" i="11" s="1"/>
  <c r="B26" i="11"/>
  <c r="A26" i="11" s="1"/>
  <c r="B25" i="11"/>
  <c r="A25" i="11" s="1"/>
  <c r="B24" i="11"/>
  <c r="A24" i="11" s="1"/>
  <c r="B23" i="11"/>
  <c r="A23" i="11" s="1"/>
  <c r="B22" i="11"/>
  <c r="A22" i="11" s="1"/>
  <c r="B21" i="11"/>
  <c r="A21" i="11" s="1"/>
  <c r="B20" i="11"/>
  <c r="A20" i="11" s="1"/>
  <c r="B19" i="11"/>
  <c r="A19" i="11" s="1"/>
  <c r="B18" i="11"/>
  <c r="A18" i="11" s="1"/>
  <c r="B17" i="11"/>
  <c r="A17" i="11" s="1"/>
  <c r="B16" i="11"/>
  <c r="B15" i="11"/>
  <c r="A15" i="11" s="1"/>
  <c r="B14" i="11"/>
  <c r="A14" i="11" s="1"/>
  <c r="B13" i="11"/>
  <c r="A13" i="11" s="1"/>
  <c r="B12" i="11"/>
  <c r="A12" i="11" s="1"/>
  <c r="B11" i="11"/>
  <c r="A11" i="11" s="1"/>
  <c r="B10" i="11"/>
  <c r="A10" i="11" s="1"/>
  <c r="B9" i="11"/>
  <c r="A9" i="11" s="1"/>
  <c r="B8" i="11"/>
  <c r="A8" i="11" s="1"/>
  <c r="B7" i="11"/>
  <c r="A7" i="11" s="1"/>
  <c r="S6" i="11" a="1"/>
  <c r="S6" i="11" s="1"/>
  <c r="R6" i="11" a="1"/>
  <c r="R6" i="11" s="1"/>
  <c r="Q6" i="11" a="1"/>
  <c r="B6" i="11"/>
  <c r="A6" i="11" s="1"/>
  <c r="B5" i="11"/>
  <c r="A5" i="11" s="1"/>
  <c r="B4" i="11"/>
  <c r="A4" i="11" s="1"/>
  <c r="B3" i="11"/>
  <c r="A3" i="11" s="1"/>
  <c r="B2" i="11"/>
  <c r="A2" i="11" s="1"/>
  <c r="AF1" i="11"/>
  <c r="AE1" i="11"/>
  <c r="AD1" i="11"/>
  <c r="AC1" i="11"/>
  <c r="AB1" i="11"/>
  <c r="AA1" i="11"/>
  <c r="Z1" i="11"/>
  <c r="Y1" i="11"/>
  <c r="X1" i="11"/>
  <c r="W1" i="11"/>
  <c r="V1" i="11"/>
  <c r="Q2" i="2" a="1"/>
  <c r="Q2" i="2"/>
  <c r="T6" i="10" a="1"/>
  <c r="T6" i="10" s="1"/>
  <c r="B54" i="10"/>
  <c r="A54" i="10" s="1"/>
  <c r="B53" i="10"/>
  <c r="A53" i="10" s="1"/>
  <c r="B52" i="10"/>
  <c r="A52" i="10" s="1"/>
  <c r="B51" i="10"/>
  <c r="A51" i="10" s="1"/>
  <c r="B50" i="10"/>
  <c r="A50" i="10" s="1"/>
  <c r="B49" i="10"/>
  <c r="A49" i="10" s="1"/>
  <c r="B48" i="10"/>
  <c r="A48" i="10" s="1"/>
  <c r="B47" i="10"/>
  <c r="A47" i="10" s="1"/>
  <c r="B46" i="10"/>
  <c r="A46" i="10" s="1"/>
  <c r="B45" i="10"/>
  <c r="A45" i="10" s="1"/>
  <c r="B44" i="10"/>
  <c r="A44" i="10" s="1"/>
  <c r="B43" i="10"/>
  <c r="A43" i="10" s="1"/>
  <c r="B42" i="10"/>
  <c r="A42" i="10" s="1"/>
  <c r="B41" i="10"/>
  <c r="A41" i="10" s="1"/>
  <c r="B40" i="10"/>
  <c r="A40" i="10" s="1"/>
  <c r="B39" i="10"/>
  <c r="A39" i="10" s="1"/>
  <c r="B38" i="10"/>
  <c r="A38" i="10" s="1"/>
  <c r="B37" i="10"/>
  <c r="A37" i="10" s="1"/>
  <c r="B36" i="10"/>
  <c r="A36" i="10" s="1"/>
  <c r="B35" i="10"/>
  <c r="A35" i="10" s="1"/>
  <c r="B34" i="10"/>
  <c r="A34" i="10" s="1"/>
  <c r="B33" i="10"/>
  <c r="A33" i="10" s="1"/>
  <c r="B32" i="10"/>
  <c r="A32" i="10" s="1"/>
  <c r="B31" i="10"/>
  <c r="A31" i="10" s="1"/>
  <c r="B30" i="10"/>
  <c r="A30" i="10" s="1"/>
  <c r="B29" i="10"/>
  <c r="A29" i="10" s="1"/>
  <c r="B28" i="10"/>
  <c r="A28" i="10" s="1"/>
  <c r="B27" i="10"/>
  <c r="A27" i="10" s="1"/>
  <c r="B26" i="10"/>
  <c r="A26" i="10" s="1"/>
  <c r="B25" i="10"/>
  <c r="A25" i="10" s="1"/>
  <c r="B24" i="10"/>
  <c r="A24" i="10" s="1"/>
  <c r="B23" i="10"/>
  <c r="A23" i="10" s="1"/>
  <c r="B22" i="10"/>
  <c r="A22" i="10" s="1"/>
  <c r="B21" i="10"/>
  <c r="A21" i="10" s="1"/>
  <c r="B20" i="10"/>
  <c r="A20" i="10" s="1"/>
  <c r="B19" i="10"/>
  <c r="A19" i="10" s="1"/>
  <c r="B18" i="10"/>
  <c r="A18" i="10" s="1"/>
  <c r="B17" i="10"/>
  <c r="A17" i="10" s="1"/>
  <c r="B16" i="10"/>
  <c r="A16" i="10" s="1"/>
  <c r="B15" i="10"/>
  <c r="A15" i="10" s="1"/>
  <c r="B14" i="10"/>
  <c r="A14" i="10" s="1"/>
  <c r="B13" i="10"/>
  <c r="A13" i="10" s="1"/>
  <c r="B12" i="10"/>
  <c r="A12" i="10" s="1"/>
  <c r="B11" i="10"/>
  <c r="A11" i="10" s="1"/>
  <c r="B10" i="10"/>
  <c r="A10" i="10" s="1"/>
  <c r="B9" i="10"/>
  <c r="A9" i="10" s="1"/>
  <c r="B8" i="10"/>
  <c r="A8" i="10" s="1"/>
  <c r="B7" i="10"/>
  <c r="A7" i="10" s="1"/>
  <c r="B6" i="10"/>
  <c r="A6" i="10" s="1"/>
  <c r="B5" i="10"/>
  <c r="A5" i="10" s="1"/>
  <c r="B4" i="10"/>
  <c r="A4" i="10" s="1"/>
  <c r="B3" i="10"/>
  <c r="A3" i="10" s="1"/>
  <c r="B2" i="10"/>
  <c r="A2" i="10" s="1"/>
  <c r="AG1" i="10"/>
  <c r="AF1" i="10"/>
  <c r="AE1" i="10"/>
  <c r="AD1" i="10"/>
  <c r="AC1" i="10"/>
  <c r="AB1" i="10"/>
  <c r="AA1" i="10"/>
  <c r="Z1" i="10"/>
  <c r="Y1" i="10"/>
  <c r="X1" i="10"/>
  <c r="W1" i="10"/>
  <c r="B54" i="9"/>
  <c r="A54" i="9" s="1"/>
  <c r="B53" i="9"/>
  <c r="A53" i="9" s="1"/>
  <c r="B52" i="9"/>
  <c r="A52" i="9" s="1"/>
  <c r="B51" i="9"/>
  <c r="A51" i="9" s="1"/>
  <c r="B50" i="9"/>
  <c r="A50" i="9" s="1"/>
  <c r="B49" i="9"/>
  <c r="A49" i="9" s="1"/>
  <c r="B48" i="9"/>
  <c r="A48" i="9" s="1"/>
  <c r="B47" i="9"/>
  <c r="A47" i="9" s="1"/>
  <c r="B46" i="9"/>
  <c r="A46" i="9" s="1"/>
  <c r="B45" i="9"/>
  <c r="A45" i="9" s="1"/>
  <c r="B44" i="9"/>
  <c r="A44" i="9" s="1"/>
  <c r="B43" i="9"/>
  <c r="A43" i="9" s="1"/>
  <c r="B42" i="9"/>
  <c r="A42" i="9" s="1"/>
  <c r="B41" i="9"/>
  <c r="A41" i="9" s="1"/>
  <c r="B40" i="9"/>
  <c r="A40" i="9" s="1"/>
  <c r="B39" i="9"/>
  <c r="A39" i="9" s="1"/>
  <c r="B38" i="9"/>
  <c r="A38" i="9" s="1"/>
  <c r="B37" i="9"/>
  <c r="A37" i="9" s="1"/>
  <c r="B36" i="9"/>
  <c r="A36" i="9" s="1"/>
  <c r="B35" i="9"/>
  <c r="A35" i="9" s="1"/>
  <c r="B34" i="9"/>
  <c r="A34" i="9" s="1"/>
  <c r="B33" i="9"/>
  <c r="A33" i="9" s="1"/>
  <c r="B32" i="9"/>
  <c r="A32" i="9" s="1"/>
  <c r="B31" i="9"/>
  <c r="A31" i="9" s="1"/>
  <c r="B30" i="9"/>
  <c r="A30" i="9" s="1"/>
  <c r="B29" i="9"/>
  <c r="A29" i="9" s="1"/>
  <c r="B28" i="9"/>
  <c r="A28" i="9" s="1"/>
  <c r="B27" i="9"/>
  <c r="A27" i="9" s="1"/>
  <c r="B26" i="9"/>
  <c r="A26" i="9" s="1"/>
  <c r="B25" i="9"/>
  <c r="A25" i="9" s="1"/>
  <c r="B24" i="9"/>
  <c r="A24" i="9" s="1"/>
  <c r="B23" i="9"/>
  <c r="A23" i="9" s="1"/>
  <c r="B22" i="9"/>
  <c r="A22" i="9" s="1"/>
  <c r="B21" i="9"/>
  <c r="A21" i="9" s="1"/>
  <c r="B20" i="9"/>
  <c r="A20" i="9" s="1"/>
  <c r="B19" i="9"/>
  <c r="A19" i="9" s="1"/>
  <c r="B18" i="9"/>
  <c r="A18" i="9" s="1"/>
  <c r="B17" i="9"/>
  <c r="A17" i="9" s="1"/>
  <c r="B16" i="9"/>
  <c r="A16" i="9" s="1"/>
  <c r="B15" i="9"/>
  <c r="A15" i="9" s="1"/>
  <c r="B14" i="9"/>
  <c r="A14" i="9" s="1"/>
  <c r="B13" i="9"/>
  <c r="A13" i="9" s="1"/>
  <c r="B12" i="9"/>
  <c r="A12" i="9" s="1"/>
  <c r="B11" i="9"/>
  <c r="A11" i="9" s="1"/>
  <c r="B10" i="9"/>
  <c r="A10" i="9" s="1"/>
  <c r="B9" i="9"/>
  <c r="A9" i="9" s="1"/>
  <c r="B8" i="9"/>
  <c r="A8" i="9" s="1"/>
  <c r="B7" i="9"/>
  <c r="A7" i="9" s="1"/>
  <c r="B6" i="9"/>
  <c r="A6" i="9" s="1"/>
  <c r="B5" i="9"/>
  <c r="A5" i="9" s="1"/>
  <c r="B4" i="9"/>
  <c r="A4" i="9" s="1"/>
  <c r="B3" i="9"/>
  <c r="A3" i="9" s="1"/>
  <c r="Q2" i="9" a="1"/>
  <c r="Q2" i="9" s="1"/>
  <c r="B2" i="9"/>
  <c r="A2" i="9" s="1"/>
  <c r="AC1" i="9"/>
  <c r="AB1" i="9"/>
  <c r="AA1" i="9"/>
  <c r="Z1" i="9"/>
  <c r="Y1" i="9"/>
  <c r="X1" i="9"/>
  <c r="W1" i="9"/>
  <c r="V1" i="9"/>
  <c r="U1" i="9"/>
  <c r="T1" i="9"/>
  <c r="S1" i="9"/>
  <c r="AC12" i="2"/>
  <c r="AB12" i="2"/>
  <c r="AA12" i="2"/>
  <c r="Z12" i="2"/>
  <c r="Y12" i="2"/>
  <c r="X12" i="2"/>
  <c r="W12" i="2"/>
  <c r="V12" i="2"/>
  <c r="U12" i="2"/>
  <c r="AC1" i="2"/>
  <c r="T1" i="2"/>
  <c r="U1" i="2"/>
  <c r="V1" i="2"/>
  <c r="W1" i="2"/>
  <c r="X1" i="2"/>
  <c r="Y1" i="2"/>
  <c r="Z1" i="2"/>
  <c r="AA1" i="2"/>
  <c r="AB1" i="2"/>
  <c r="S1" i="2"/>
  <c r="B54" i="2"/>
  <c r="B53" i="2"/>
  <c r="A53" i="2" s="1"/>
  <c r="B52" i="2"/>
  <c r="B51" i="2"/>
  <c r="A51" i="2" s="1"/>
  <c r="B50" i="2"/>
  <c r="B49" i="2"/>
  <c r="A49" i="2" s="1"/>
  <c r="B48" i="2"/>
  <c r="B47" i="2"/>
  <c r="A47" i="2" s="1"/>
  <c r="B46" i="2"/>
  <c r="B45" i="2"/>
  <c r="A45" i="2" s="1"/>
  <c r="B44" i="2"/>
  <c r="B43" i="2"/>
  <c r="A43" i="2" s="1"/>
  <c r="B42" i="2"/>
  <c r="B41" i="2"/>
  <c r="A41" i="2" s="1"/>
  <c r="B40" i="2"/>
  <c r="B39" i="2"/>
  <c r="A39" i="2" s="1"/>
  <c r="B38" i="2"/>
  <c r="B37" i="2"/>
  <c r="A37" i="2" s="1"/>
  <c r="B36" i="2"/>
  <c r="B35" i="2"/>
  <c r="A35" i="2" s="1"/>
  <c r="B34" i="2"/>
  <c r="B33" i="2"/>
  <c r="A33" i="2" s="1"/>
  <c r="B32" i="2"/>
  <c r="B31" i="2"/>
  <c r="A31" i="2" s="1"/>
  <c r="B30" i="2"/>
  <c r="B29" i="2"/>
  <c r="A29" i="2" s="1"/>
  <c r="B28" i="2"/>
  <c r="B27" i="2"/>
  <c r="A27" i="2" s="1"/>
  <c r="B26" i="2"/>
  <c r="B25" i="2"/>
  <c r="A25" i="2" s="1"/>
  <c r="B24" i="2"/>
  <c r="B23" i="2"/>
  <c r="A23" i="2" s="1"/>
  <c r="B22" i="2"/>
  <c r="B21" i="2"/>
  <c r="A21" i="2" s="1"/>
  <c r="B20" i="2"/>
  <c r="B19" i="2"/>
  <c r="A19" i="2" s="1"/>
  <c r="B18" i="2"/>
  <c r="B17" i="2"/>
  <c r="A17" i="2" s="1"/>
  <c r="B16" i="2"/>
  <c r="B15" i="2"/>
  <c r="A15" i="2" s="1"/>
  <c r="B14" i="2"/>
  <c r="B13" i="2"/>
  <c r="A13" i="2" s="1"/>
  <c r="B12" i="2"/>
  <c r="T12" i="2" s="1"/>
  <c r="B11" i="2"/>
  <c r="A11" i="2" s="1"/>
  <c r="B10" i="2"/>
  <c r="B9" i="2"/>
  <c r="A9" i="2" s="1"/>
  <c r="B8" i="2"/>
  <c r="B7" i="2"/>
  <c r="A7" i="2" s="1"/>
  <c r="B6" i="2"/>
  <c r="B5" i="2"/>
  <c r="A5" i="2" s="1"/>
  <c r="B4" i="2"/>
  <c r="B3" i="2"/>
  <c r="A3" i="2" s="1"/>
  <c r="B2" i="2"/>
  <c r="B54" i="6"/>
  <c r="M54" i="6" s="1"/>
  <c r="B53" i="6"/>
  <c r="M53" i="6" s="1"/>
  <c r="B52" i="6"/>
  <c r="M52" i="6" s="1"/>
  <c r="B51" i="6"/>
  <c r="M51" i="6" s="1"/>
  <c r="B50" i="6"/>
  <c r="M50" i="6" s="1"/>
  <c r="B49" i="6"/>
  <c r="A49" i="6" s="1"/>
  <c r="L49" i="6" s="1"/>
  <c r="B48" i="6"/>
  <c r="M48" i="6" s="1"/>
  <c r="B47" i="6"/>
  <c r="M47" i="6" s="1"/>
  <c r="B46" i="6"/>
  <c r="M46" i="6" s="1"/>
  <c r="B45" i="6"/>
  <c r="M45" i="6" s="1"/>
  <c r="B44" i="6"/>
  <c r="M44" i="6" s="1"/>
  <c r="B43" i="6"/>
  <c r="M43" i="6" s="1"/>
  <c r="B42" i="6"/>
  <c r="M42" i="6" s="1"/>
  <c r="B41" i="6"/>
  <c r="A41" i="6" s="1"/>
  <c r="L41" i="6" s="1"/>
  <c r="B40" i="6"/>
  <c r="M40" i="6" s="1"/>
  <c r="B39" i="6"/>
  <c r="M39" i="6" s="1"/>
  <c r="B38" i="6"/>
  <c r="M38" i="6" s="1"/>
  <c r="B37" i="6"/>
  <c r="M37" i="6" s="1"/>
  <c r="B36" i="6"/>
  <c r="M36" i="6" s="1"/>
  <c r="B35" i="6"/>
  <c r="M35" i="6" s="1"/>
  <c r="B34" i="6"/>
  <c r="M34" i="6" s="1"/>
  <c r="B33" i="6"/>
  <c r="M33" i="6" s="1"/>
  <c r="B32" i="6"/>
  <c r="M32" i="6" s="1"/>
  <c r="B31" i="6"/>
  <c r="M31" i="6" s="1"/>
  <c r="B30" i="6"/>
  <c r="M30" i="6" s="1"/>
  <c r="B29" i="6"/>
  <c r="M29" i="6" s="1"/>
  <c r="B28" i="6"/>
  <c r="M28" i="6" s="1"/>
  <c r="B27" i="6"/>
  <c r="M27" i="6" s="1"/>
  <c r="A27" i="6"/>
  <c r="L27" i="6" s="1"/>
  <c r="B26" i="6"/>
  <c r="M26" i="6" s="1"/>
  <c r="B25" i="6"/>
  <c r="M25" i="6" s="1"/>
  <c r="B24" i="6"/>
  <c r="M24" i="6" s="1"/>
  <c r="B23" i="6"/>
  <c r="M23" i="6" s="1"/>
  <c r="A23" i="6"/>
  <c r="L23" i="6" s="1"/>
  <c r="B22" i="6"/>
  <c r="M22" i="6" s="1"/>
  <c r="B21" i="6"/>
  <c r="M21" i="6" s="1"/>
  <c r="A21" i="6"/>
  <c r="L21" i="6" s="1"/>
  <c r="B20" i="6"/>
  <c r="M20" i="6" s="1"/>
  <c r="B19" i="6"/>
  <c r="M19" i="6" s="1"/>
  <c r="B18" i="6"/>
  <c r="M18" i="6" s="1"/>
  <c r="B17" i="6"/>
  <c r="M17" i="6" s="1"/>
  <c r="B16" i="6"/>
  <c r="A16" i="6" s="1"/>
  <c r="L16" i="6" s="1"/>
  <c r="M15" i="6"/>
  <c r="B15" i="6"/>
  <c r="A15" i="6" s="1"/>
  <c r="L15" i="6" s="1"/>
  <c r="B14" i="6"/>
  <c r="A14" i="6" s="1"/>
  <c r="L14" i="6" s="1"/>
  <c r="B13" i="6"/>
  <c r="A13" i="6" s="1"/>
  <c r="B12" i="6"/>
  <c r="A12" i="6" s="1"/>
  <c r="L12" i="6" s="1"/>
  <c r="S11" i="6" a="1"/>
  <c r="S11" i="6" s="1"/>
  <c r="L11" i="6"/>
  <c r="B11" i="6"/>
  <c r="M11" i="6" s="1"/>
  <c r="A11" i="6"/>
  <c r="M10" i="6"/>
  <c r="B10" i="6"/>
  <c r="A10" i="6"/>
  <c r="L10" i="6" s="1"/>
  <c r="B9" i="6"/>
  <c r="M9" i="6" s="1"/>
  <c r="B8" i="6"/>
  <c r="M8" i="6" s="1"/>
  <c r="A8" i="6"/>
  <c r="L8" i="6" s="1"/>
  <c r="L7" i="6"/>
  <c r="B7" i="6"/>
  <c r="M7" i="6" s="1"/>
  <c r="A7" i="6"/>
  <c r="B6" i="6"/>
  <c r="M6" i="6" s="1"/>
  <c r="M5" i="6"/>
  <c r="B5" i="6"/>
  <c r="A5" i="6"/>
  <c r="L5" i="6" s="1"/>
  <c r="B4" i="6"/>
  <c r="M4" i="6" s="1"/>
  <c r="B3" i="6"/>
  <c r="M3" i="6" s="1"/>
  <c r="A3" i="6"/>
  <c r="L3" i="6" s="1"/>
  <c r="B2" i="6"/>
  <c r="Q11" i="6" s="1" a="1"/>
  <c r="Q11" i="6" s="1"/>
  <c r="M1" i="6"/>
  <c r="L1" i="6"/>
  <c r="B54" i="5"/>
  <c r="M54" i="5" s="1"/>
  <c r="B53" i="5"/>
  <c r="M53" i="5" s="1"/>
  <c r="B52" i="5"/>
  <c r="M52" i="5" s="1"/>
  <c r="B51" i="5"/>
  <c r="M51" i="5" s="1"/>
  <c r="B50" i="5"/>
  <c r="M50" i="5" s="1"/>
  <c r="B49" i="5"/>
  <c r="A49" i="5" s="1"/>
  <c r="L49" i="5" s="1"/>
  <c r="B48" i="5"/>
  <c r="M48" i="5" s="1"/>
  <c r="B47" i="5"/>
  <c r="A47" i="5" s="1"/>
  <c r="L47" i="5" s="1"/>
  <c r="B46" i="5"/>
  <c r="M46" i="5" s="1"/>
  <c r="B45" i="5"/>
  <c r="M45" i="5" s="1"/>
  <c r="B44" i="5"/>
  <c r="M44" i="5" s="1"/>
  <c r="B43" i="5"/>
  <c r="M43" i="5" s="1"/>
  <c r="B42" i="5"/>
  <c r="M42" i="5" s="1"/>
  <c r="B41" i="5"/>
  <c r="A41" i="5" s="1"/>
  <c r="L41" i="5" s="1"/>
  <c r="B40" i="5"/>
  <c r="M40" i="5" s="1"/>
  <c r="B39" i="5"/>
  <c r="A39" i="5" s="1"/>
  <c r="L39" i="5" s="1"/>
  <c r="B38" i="5"/>
  <c r="M38" i="5" s="1"/>
  <c r="B37" i="5"/>
  <c r="M37" i="5" s="1"/>
  <c r="B36" i="5"/>
  <c r="M36" i="5" s="1"/>
  <c r="B35" i="5"/>
  <c r="A35" i="5" s="1"/>
  <c r="L35" i="5" s="1"/>
  <c r="B34" i="5"/>
  <c r="M34" i="5" s="1"/>
  <c r="B33" i="5"/>
  <c r="A33" i="5" s="1"/>
  <c r="L33" i="5" s="1"/>
  <c r="B32" i="5"/>
  <c r="M32" i="5" s="1"/>
  <c r="B31" i="5"/>
  <c r="M31" i="5" s="1"/>
  <c r="B30" i="5"/>
  <c r="M30" i="5" s="1"/>
  <c r="B29" i="5"/>
  <c r="M29" i="5" s="1"/>
  <c r="B28" i="5"/>
  <c r="M28" i="5" s="1"/>
  <c r="B27" i="5"/>
  <c r="A27" i="5" s="1"/>
  <c r="L27" i="5" s="1"/>
  <c r="B26" i="5"/>
  <c r="M26" i="5" s="1"/>
  <c r="B25" i="5"/>
  <c r="M25" i="5" s="1"/>
  <c r="B24" i="5"/>
  <c r="M24" i="5" s="1"/>
  <c r="B23" i="5"/>
  <c r="M23" i="5" s="1"/>
  <c r="B22" i="5"/>
  <c r="M22" i="5" s="1"/>
  <c r="B21" i="5"/>
  <c r="A21" i="5" s="1"/>
  <c r="L21" i="5" s="1"/>
  <c r="B20" i="5"/>
  <c r="M20" i="5" s="1"/>
  <c r="B19" i="5"/>
  <c r="M19" i="5" s="1"/>
  <c r="B18" i="5"/>
  <c r="M18" i="5" s="1"/>
  <c r="B17" i="5"/>
  <c r="M17" i="5" s="1"/>
  <c r="B16" i="5"/>
  <c r="M16" i="5" s="1"/>
  <c r="B15" i="5"/>
  <c r="M15" i="5" s="1"/>
  <c r="B14" i="5"/>
  <c r="M14" i="5" s="1"/>
  <c r="B13" i="5"/>
  <c r="M13" i="5" s="1"/>
  <c r="B12" i="5"/>
  <c r="M12" i="5" s="1"/>
  <c r="B11" i="5"/>
  <c r="A11" i="5" s="1"/>
  <c r="L11" i="5" s="1"/>
  <c r="B10" i="5"/>
  <c r="M10" i="5" s="1"/>
  <c r="B9" i="5"/>
  <c r="M9" i="5" s="1"/>
  <c r="B8" i="5"/>
  <c r="M8" i="5" s="1"/>
  <c r="B7" i="5"/>
  <c r="M7" i="5" s="1"/>
  <c r="B6" i="5"/>
  <c r="M6" i="5" s="1"/>
  <c r="B5" i="5"/>
  <c r="A5" i="5" s="1"/>
  <c r="L5" i="5" s="1"/>
  <c r="B4" i="5"/>
  <c r="M4" i="5" s="1"/>
  <c r="B3" i="5"/>
  <c r="M3" i="5" s="1"/>
  <c r="B2" i="5"/>
  <c r="A2" i="5" s="1"/>
  <c r="L2" i="5" s="1"/>
  <c r="Q2" i="5" s="1"/>
  <c r="M1" i="5"/>
  <c r="L1" i="5"/>
  <c r="J7" i="4"/>
  <c r="J6" i="4"/>
  <c r="I2" i="4"/>
  <c r="H2" i="4"/>
  <c r="X47" i="15" l="1" a="1"/>
  <c r="X47" i="15" s="1"/>
  <c r="AE47" i="15" a="1"/>
  <c r="AE47" i="15" s="1"/>
  <c r="S1" i="15" a="1"/>
  <c r="S1" i="15" s="1"/>
  <c r="S1" i="13" a="1"/>
  <c r="S1" i="13" s="1"/>
  <c r="A53" i="5"/>
  <c r="L53" i="5" s="1"/>
  <c r="A31" i="6"/>
  <c r="L31" i="6" s="1"/>
  <c r="M12" i="6"/>
  <c r="A33" i="6"/>
  <c r="L33" i="6" s="1"/>
  <c r="M41" i="6"/>
  <c r="M49" i="6"/>
  <c r="A43" i="6"/>
  <c r="L43" i="6" s="1"/>
  <c r="A51" i="6"/>
  <c r="L51" i="6" s="1"/>
  <c r="M13" i="6"/>
  <c r="M14" i="6"/>
  <c r="A35" i="6"/>
  <c r="L35" i="6" s="1"/>
  <c r="A9" i="6"/>
  <c r="L9" i="6" s="1"/>
  <c r="A25" i="6"/>
  <c r="L25" i="6" s="1"/>
  <c r="A37" i="6"/>
  <c r="L37" i="6" s="1"/>
  <c r="A45" i="6"/>
  <c r="L45" i="6" s="1"/>
  <c r="A53" i="6"/>
  <c r="L53" i="6" s="1"/>
  <c r="M16" i="6"/>
  <c r="A17" i="6"/>
  <c r="L17" i="6" s="1"/>
  <c r="A29" i="6"/>
  <c r="L29" i="6" s="1"/>
  <c r="A39" i="6"/>
  <c r="L39" i="6" s="1"/>
  <c r="A47" i="6"/>
  <c r="L47" i="6" s="1"/>
  <c r="A19" i="6"/>
  <c r="L19" i="6" s="1"/>
  <c r="Q6" i="11"/>
  <c r="A16" i="11"/>
  <c r="A52" i="5"/>
  <c r="L52" i="5" s="1"/>
  <c r="M27" i="5"/>
  <c r="M11" i="5"/>
  <c r="A36" i="5"/>
  <c r="L36" i="5" s="1"/>
  <c r="A37" i="5"/>
  <c r="L37" i="5" s="1"/>
  <c r="A18" i="5"/>
  <c r="L18" i="5" s="1"/>
  <c r="A43" i="5"/>
  <c r="L43" i="5" s="1"/>
  <c r="M39" i="5"/>
  <c r="A9" i="5"/>
  <c r="L9" i="5" s="1"/>
  <c r="A13" i="5"/>
  <c r="L13" i="5" s="1"/>
  <c r="A17" i="5"/>
  <c r="L17" i="5" s="1"/>
  <c r="A31" i="5"/>
  <c r="L31" i="5" s="1"/>
  <c r="M35" i="5"/>
  <c r="A44" i="5"/>
  <c r="L44" i="5" s="1"/>
  <c r="M47" i="5"/>
  <c r="A4" i="5"/>
  <c r="L4" i="5" s="1"/>
  <c r="A28" i="5"/>
  <c r="L28" i="5" s="1"/>
  <c r="A45" i="5"/>
  <c r="L45" i="5" s="1"/>
  <c r="A15" i="5"/>
  <c r="L15" i="5" s="1"/>
  <c r="A25" i="5"/>
  <c r="L25" i="5" s="1"/>
  <c r="A29" i="5"/>
  <c r="L29" i="5" s="1"/>
  <c r="A51" i="5"/>
  <c r="L51" i="5" s="1"/>
  <c r="A12" i="5"/>
  <c r="L12" i="5" s="1"/>
  <c r="A16" i="5"/>
  <c r="L16" i="5" s="1"/>
  <c r="A20" i="5"/>
  <c r="L20" i="5" s="1"/>
  <c r="M5" i="5"/>
  <c r="M21" i="5"/>
  <c r="A3" i="5"/>
  <c r="L3" i="5" s="1"/>
  <c r="A6" i="5"/>
  <c r="L6" i="5" s="1"/>
  <c r="A19" i="5"/>
  <c r="L19" i="5" s="1"/>
  <c r="A22" i="5"/>
  <c r="L22" i="5" s="1"/>
  <c r="A34" i="5"/>
  <c r="L34" i="5" s="1"/>
  <c r="A42" i="5"/>
  <c r="L42" i="5" s="1"/>
  <c r="A50" i="5"/>
  <c r="L50" i="5" s="1"/>
  <c r="A7" i="5"/>
  <c r="L7" i="5" s="1"/>
  <c r="A10" i="5"/>
  <c r="L10" i="5" s="1"/>
  <c r="A23" i="5"/>
  <c r="L23" i="5" s="1"/>
  <c r="A26" i="5"/>
  <c r="L26" i="5" s="1"/>
  <c r="A32" i="5"/>
  <c r="L32" i="5" s="1"/>
  <c r="A40" i="5"/>
  <c r="L40" i="5" s="1"/>
  <c r="A48" i="5"/>
  <c r="L48" i="5" s="1"/>
  <c r="M33" i="5"/>
  <c r="M41" i="5"/>
  <c r="M49" i="5"/>
  <c r="A14" i="5"/>
  <c r="L14" i="5" s="1"/>
  <c r="A30" i="5"/>
  <c r="L30" i="5" s="1"/>
  <c r="A38" i="5"/>
  <c r="L38" i="5" s="1"/>
  <c r="A46" i="5"/>
  <c r="L46" i="5" s="1"/>
  <c r="A54" i="5"/>
  <c r="L54" i="5" s="1"/>
  <c r="A8" i="5"/>
  <c r="L8" i="5" s="1"/>
  <c r="A24" i="5"/>
  <c r="L24" i="5" s="1"/>
  <c r="S2" i="9" a="1"/>
  <c r="S2" i="9" s="1"/>
  <c r="A2" i="2"/>
  <c r="A4" i="2"/>
  <c r="A6" i="2"/>
  <c r="A8" i="2"/>
  <c r="A10" i="2"/>
  <c r="A12" i="2"/>
  <c r="S12" i="2" s="1"/>
  <c r="A14" i="2"/>
  <c r="A16" i="2"/>
  <c r="R2" i="9" s="1" a="1"/>
  <c r="R2" i="9" s="1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V11" i="6"/>
  <c r="L13" i="6"/>
  <c r="R11" i="6" a="1"/>
  <c r="R11" i="6" s="1"/>
  <c r="M2" i="5"/>
  <c r="R2" i="5" s="1"/>
  <c r="M2" i="6"/>
  <c r="R2" i="6" s="1"/>
  <c r="A4" i="6"/>
  <c r="L4" i="6" s="1"/>
  <c r="A6" i="6"/>
  <c r="L6" i="6" s="1"/>
  <c r="Q16" i="6" a="1"/>
  <c r="Q16" i="6" s="1"/>
  <c r="A18" i="6"/>
  <c r="L18" i="6" s="1"/>
  <c r="A20" i="6"/>
  <c r="L20" i="6" s="1"/>
  <c r="A22" i="6"/>
  <c r="L22" i="6" s="1"/>
  <c r="A24" i="6"/>
  <c r="L24" i="6" s="1"/>
  <c r="A26" i="6"/>
  <c r="L26" i="6" s="1"/>
  <c r="A28" i="6"/>
  <c r="L28" i="6" s="1"/>
  <c r="A30" i="6"/>
  <c r="L30" i="6" s="1"/>
  <c r="A32" i="6"/>
  <c r="L32" i="6" s="1"/>
  <c r="A34" i="6"/>
  <c r="L34" i="6" s="1"/>
  <c r="A36" i="6"/>
  <c r="L36" i="6" s="1"/>
  <c r="A38" i="6"/>
  <c r="L38" i="6" s="1"/>
  <c r="A40" i="6"/>
  <c r="L40" i="6" s="1"/>
  <c r="A42" i="6"/>
  <c r="L42" i="6" s="1"/>
  <c r="A44" i="6"/>
  <c r="L44" i="6" s="1"/>
  <c r="A46" i="6"/>
  <c r="L46" i="6" s="1"/>
  <c r="A48" i="6"/>
  <c r="L48" i="6" s="1"/>
  <c r="A50" i="6"/>
  <c r="L50" i="6" s="1"/>
  <c r="A52" i="6"/>
  <c r="L52" i="6" s="1"/>
  <c r="A54" i="6"/>
  <c r="L54" i="6" s="1"/>
  <c r="R16" i="6" a="1"/>
  <c r="R16" i="6" s="1"/>
  <c r="A2" i="6"/>
  <c r="R2" i="2" l="1" a="1"/>
  <c r="R2" i="2" s="1"/>
  <c r="S13" i="2" a="1"/>
  <c r="S13" i="2" s="1"/>
  <c r="V2" i="11" a="1"/>
  <c r="V2" i="11" s="1"/>
  <c r="V17" i="11" a="1"/>
  <c r="V17" i="11" s="1"/>
  <c r="X2" i="6"/>
  <c r="V6" i="6"/>
  <c r="W2" i="6"/>
  <c r="V2" i="6"/>
  <c r="L2" i="6"/>
  <c r="Q2" i="6" l="1"/>
  <c r="P11" i="6" a="1"/>
  <c r="P11" i="6" s="1"/>
  <c r="P16" i="6" a="1"/>
  <c r="P16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<sst xmlns="http://schemas.openxmlformats.org/spreadsheetml/2006/main" count="3805" uniqueCount="905">
  <si>
    <t>FILTER 函數</t>
  </si>
  <si>
    <r>
      <t>Microsoft 365 Excel Mac 版 Microsoft 365 Excel Excel 網頁版 Excel 2021 Mac 版 Excel 2021 Excel 2019 iPad 版 Excel iPhone 版 Excel Android 版 Excel 平板電腦 Android 版 Excel 手機 </t>
    </r>
    <r>
      <rPr>
        <u/>
        <sz val="11"/>
        <color theme="10"/>
        <rFont val="新細明體"/>
        <family val="1"/>
        <charset val="136"/>
        <scheme val="minor"/>
      </rPr>
      <t>更少</t>
    </r>
  </si>
  <si>
    <r>
      <t>在下列範例中，我們使用公式 </t>
    </r>
    <r>
      <rPr>
        <b/>
        <sz val="17.600000000000001"/>
        <color rgb="FF1E1E1E"/>
        <rFont val="Segoe UI"/>
        <family val="2"/>
      </rPr>
      <t>=FILTER (A5：D20，C5：C20=H2，「) </t>
    </r>
    <r>
      <rPr>
        <sz val="17.600000000000001"/>
        <color rgb="FF1E1E1E"/>
        <rFont val="Segoe UI"/>
        <family val="2"/>
      </rPr>
      <t>傳回 Apple 的所有記錄，如在儲存格 H2 中選取，如果沒有 apples，則會傳回空字串 (」「) 。</t>
    </r>
  </si>
  <si>
    <t>語法</t>
  </si>
  <si>
    <t>FILTER 函數會根據布林 (真/假) 陣列來篩選陣列。</t>
  </si>
  <si>
    <t>=FILTER(array,include,[if_empty])</t>
  </si>
  <si>
    <t>引數</t>
  </si>
  <si>
    <t>說明</t>
  </si>
  <si>
    <t>array</t>
  </si>
  <si>
    <t>必要</t>
  </si>
  <si>
    <t>要篩選的陣列或範圍</t>
  </si>
  <si>
    <t>include</t>
  </si>
  <si>
    <t>布林陣列的高度或寬度必須與該陣列相同</t>
  </si>
  <si>
    <t>[if_empty]</t>
  </si>
  <si>
    <t>選用</t>
  </si>
  <si>
    <t>若所包含陣列中的全部值均為空時要傳回的值 (篩選沒有傳回任何項目)</t>
  </si>
  <si>
    <t>附註: </t>
  </si>
  <si>
    <t>您可以將陣列想成是一列的值、一欄的值，或是一列值以及一欄值的組合。 在上例中，用於我們的 FILTER 公式的來源陣列是源自於範圍 A5:D20。</t>
  </si>
  <si>
    <r>
      <t>FILTER 函數將傳回一個陣列，若其為公式的最終結果則會溢出。 這表示，當您按 </t>
    </r>
    <r>
      <rPr>
        <b/>
        <sz val="6"/>
        <color rgb="FF1E1E1E"/>
        <rFont val="Segoe UI"/>
        <family val="2"/>
      </rPr>
      <t>ENTER</t>
    </r>
    <r>
      <rPr>
        <sz val="6"/>
        <color rgb="FF1E1E1E"/>
        <rFont val="Segoe UI"/>
        <family val="2"/>
      </rPr>
      <t> 時，Excel 將動態建立適當大小的陣列範圍。 如果支援資料是在 </t>
    </r>
    <r>
      <rPr>
        <sz val="6"/>
        <color rgb="FF006CAC"/>
        <rFont val="Segoe UI"/>
        <family val="2"/>
      </rPr>
      <t>Excel 表格</t>
    </r>
    <r>
      <rPr>
        <sz val="6"/>
        <color rgb="FF1E1E1E"/>
        <rFont val="Segoe UI"/>
        <family val="2"/>
      </rPr>
      <t>，而您使用了</t>
    </r>
    <r>
      <rPr>
        <sz val="6"/>
        <color rgb="FF006CAC"/>
        <rFont val="Segoe UI"/>
        <family val="2"/>
      </rPr>
      <t>結構化參照</t>
    </r>
    <r>
      <rPr>
        <sz val="6"/>
        <color rgb="FF1E1E1E"/>
        <rFont val="Segoe UI"/>
        <family val="2"/>
      </rPr>
      <t>，則您從陣列範圍新增或移除資料時，陣列會自動調整大小。 如需詳細資料，請參閱</t>
    </r>
    <r>
      <rPr>
        <sz val="6"/>
        <color rgb="FF006CAC"/>
        <rFont val="Segoe UI"/>
        <family val="2"/>
      </rPr>
      <t>溢出陣列行為</t>
    </r>
    <r>
      <rPr>
        <sz val="6"/>
        <color rgb="FF1E1E1E"/>
        <rFont val="Segoe UI"/>
        <family val="2"/>
      </rPr>
      <t>。</t>
    </r>
  </si>
  <si>
    <r>
      <t>如果您的資料集可能傳回空值，請使用第 3 個引數 (</t>
    </r>
    <r>
      <rPr>
        <u/>
        <sz val="11"/>
        <color theme="10"/>
        <rFont val="新細明體"/>
        <family val="1"/>
        <charset val="136"/>
        <scheme val="minor"/>
      </rPr>
      <t>[if_empty])。 否則，因為目前 Excel 不支援空陣列，這將導致 #CALC! error 。</t>
    </r>
  </si>
  <si>
    <r>
      <t>如果 </t>
    </r>
    <r>
      <rPr>
        <b/>
        <sz val="6"/>
        <color rgb="FF1E1E1E"/>
        <rFont val="Segoe UI"/>
        <family val="2"/>
      </rPr>
      <t>include </t>
    </r>
    <r>
      <rPr>
        <sz val="6"/>
        <color rgb="FF1E1E1E"/>
        <rFont val="Segoe UI"/>
        <family val="2"/>
      </rPr>
      <t>引數的任何值為錯誤 (#N/A、#VALUE等) 或無法轉換為布林值，FILTER 函數會傳回錯誤。  </t>
    </r>
  </si>
  <si>
    <r>
      <t>Excel 對活頁簿之間的動態陣列提供有限支援，只有</t>
    </r>
    <r>
      <rPr>
        <u/>
        <sz val="11"/>
        <color theme="10"/>
        <rFont val="新細明體"/>
        <family val="1"/>
        <charset val="136"/>
        <scheme val="minor"/>
      </rPr>
      <t>同時開啟活頁簿時才支援這種情況。 如果您關閉來源活頁簿，當您重新整理時，任何連結的動態陣列公式均會傳回 #REF! 錯誤 。</t>
    </r>
  </si>
  <si>
    <t>範例</t>
  </si>
  <si>
    <t>FILTER 用於傳回多個準則</t>
  </si>
  <si>
    <r>
      <t>在此例中，我們使用乘號運算子 (*) 以傳回 (A5:D20) 陣列範圍中，擁有 Apples </t>
    </r>
    <r>
      <rPr>
        <b/>
        <sz val="17.600000000000001"/>
        <color rgb="FF1E1E1E"/>
        <rFont val="Segoe UI"/>
        <family val="2"/>
      </rPr>
      <t>AND</t>
    </r>
    <r>
      <rPr>
        <sz val="17.600000000000001"/>
        <color rgb="FF1E1E1E"/>
        <rFont val="Segoe UI"/>
        <family val="2"/>
      </rPr>
      <t> 且在 East 區域的所有值：</t>
    </r>
    <r>
      <rPr>
        <b/>
        <sz val="17.600000000000001"/>
        <color rgb="FF1E1E1E"/>
        <rFont val="Segoe UI"/>
        <family val="2"/>
      </rPr>
      <t>=FILTER(A5:D20,(C5:C20=H1)*(A5:A20=H2),"")</t>
    </r>
    <r>
      <rPr>
        <sz val="17.600000000000001"/>
        <color rgb="FF1E1E1E"/>
        <rFont val="Segoe UI"/>
        <family val="2"/>
      </rPr>
      <t>。</t>
    </r>
  </si>
  <si>
    <t>FILTER 用於傳回多個準則和排序</t>
  </si>
  <si>
    <r>
      <t>在此例中，我們使用之前的 FILTER 函數搭配 SORT 函數，以傳回 (A5:D20) 陣列範圍中，擁有 Apples </t>
    </r>
    <r>
      <rPr>
        <b/>
        <sz val="17.600000000000001"/>
        <color rgb="FF1E1E1E"/>
        <rFont val="Segoe UI"/>
        <family val="2"/>
      </rPr>
      <t>AND</t>
    </r>
    <r>
      <rPr>
        <sz val="17.600000000000001"/>
        <color rgb="FF1E1E1E"/>
        <rFont val="Segoe UI"/>
        <family val="2"/>
      </rPr>
      <t> 且在 East 區域的所有值，然後用遞減順序排序 Units：</t>
    </r>
    <r>
      <rPr>
        <b/>
        <sz val="17.600000000000001"/>
        <color rgb="FF1E1E1E"/>
        <rFont val="Segoe UI"/>
        <family val="2"/>
      </rPr>
      <t>=SORT(FILTER(A5:D20,(C5:C20=H1)*(A5:A20=H2),""),4,-1)</t>
    </r>
    <r>
      <rPr>
        <sz val="17.600000000000001"/>
        <color rgb="FF1E1E1E"/>
        <rFont val="Segoe UI"/>
        <family val="2"/>
      </rPr>
      <t>。</t>
    </r>
  </si>
  <si>
    <r>
      <t>在此例中，我們使用 FILTER 函數搭配加號運算子 (+) 以傳回陣列範圍 (A5:D20) 中，擁有蘋果</t>
    </r>
    <r>
      <rPr>
        <b/>
        <sz val="17.600000000000001"/>
        <color rgb="FF1E1E1E"/>
        <rFont val="Segoe UI"/>
        <family val="2"/>
      </rPr>
      <t>或</t>
    </r>
    <r>
      <rPr>
        <sz val="17.600000000000001"/>
        <color rgb="FF1E1E1E"/>
        <rFont val="Segoe UI"/>
        <family val="2"/>
      </rPr>
      <t>在東部地區的所有值，然後按照遞減順序來排序單位：</t>
    </r>
    <r>
      <rPr>
        <b/>
        <sz val="17.600000000000001"/>
        <color rgb="FF1E1E1E"/>
        <rFont val="Segoe UI"/>
        <family val="2"/>
      </rPr>
      <t>=SORT(FILTER(A5:D20,(C5:C20=H1)+(A5:A20=H2),""),4,-1)</t>
    </r>
    <r>
      <rPr>
        <sz val="17.600000000000001"/>
        <color rgb="FF1E1E1E"/>
        <rFont val="Segoe UI"/>
        <family val="2"/>
      </rPr>
      <t>。</t>
    </r>
  </si>
  <si>
    <r>
      <t>請注意，因為這些函數只存在於一個儲存格，且會將它們的結果溢出至鄰近儲存格，所以都不需要</t>
    </r>
    <r>
      <rPr>
        <u/>
        <sz val="11"/>
        <color theme="10"/>
        <rFont val="新細明體"/>
        <family val="1"/>
        <charset val="136"/>
        <scheme val="minor"/>
      </rPr>
      <t>絕對參照。</t>
    </r>
  </si>
  <si>
    <t>需要更多協助嗎？</t>
  </si>
  <si>
    <r>
      <t>您可以隨時詢問 </t>
    </r>
    <r>
      <rPr>
        <sz val="17.600000000000001"/>
        <color rgb="FF006CAC"/>
        <rFont val="Segoe UI"/>
        <family val="2"/>
      </rPr>
      <t>Excel 技術社群</t>
    </r>
    <r>
      <rPr>
        <sz val="17.600000000000001"/>
        <color rgb="FF1E1E1E"/>
        <rFont val="Segoe UI"/>
        <family val="2"/>
      </rPr>
      <t>中的專家，或是在 </t>
    </r>
    <r>
      <rPr>
        <sz val="17.600000000000001"/>
        <color rgb="FF006CAC"/>
        <rFont val="Segoe UI"/>
        <family val="2"/>
      </rPr>
      <t>Answers 社群</t>
    </r>
    <r>
      <rPr>
        <sz val="17.600000000000001"/>
        <color rgb="FF1E1E1E"/>
        <rFont val="Segoe UI"/>
        <family val="2"/>
      </rPr>
      <t>取得支援。</t>
    </r>
  </si>
  <si>
    <t>另請參閱</t>
  </si>
  <si>
    <t>RANDARRAY 函數</t>
  </si>
  <si>
    <t>SEQUENCE 函數</t>
  </si>
  <si>
    <t>SORT 函數</t>
  </si>
  <si>
    <t>SORTBY 函數</t>
  </si>
  <si>
    <t>UNIQUE 函數</t>
  </si>
  <si>
    <t>Excel 中的 #SPILL! 錯誤</t>
  </si>
  <si>
    <t>動態陣列與溢出陣列行為</t>
  </si>
  <si>
    <t>隱含交集運算子：@</t>
  </si>
  <si>
    <r>
      <t>FILTER</t>
    </r>
    <r>
      <rPr>
        <sz val="17.600000000000001"/>
        <color rgb="FFFF0000"/>
        <rFont val="Segoe UI"/>
        <family val="2"/>
      </rPr>
      <t> 函數讓您根據自定義的準則來篩選資料範圍。</t>
    </r>
  </si>
  <si>
    <t>FILTER</t>
  </si>
  <si>
    <t>国际域名缩写</t>
  </si>
  <si>
    <t>国家或地区</t>
  </si>
  <si>
    <t>英文名</t>
  </si>
  <si>
    <t>國家代码</t>
    <phoneticPr fontId="22" type="noConversion"/>
  </si>
  <si>
    <t>AD</t>
  </si>
  <si>
    <t>安道尔共和国</t>
  </si>
  <si>
    <t>Andorra</t>
  </si>
  <si>
    <t>= xlookup(L2,B:B,D:D)</t>
    <phoneticPr fontId="22" type="noConversion"/>
  </si>
  <si>
    <t>AE</t>
  </si>
  <si>
    <t>阿拉伯联合酋长国</t>
  </si>
  <si>
    <t>United Arab Emirates</t>
  </si>
  <si>
    <t>AF</t>
  </si>
  <si>
    <t>阿富汗</t>
  </si>
  <si>
    <t>Afghanistan</t>
  </si>
  <si>
    <t>AG</t>
  </si>
  <si>
    <t>安提瓜和巴布达</t>
  </si>
  <si>
    <t>Antigua and Barbuda</t>
  </si>
  <si>
    <t>AI</t>
  </si>
  <si>
    <t>安圭拉岛</t>
  </si>
  <si>
    <t>Anguilla</t>
  </si>
  <si>
    <r>
      <t>得到</t>
    </r>
    <r>
      <rPr>
        <sz val="13.5"/>
        <color theme="1"/>
        <rFont val="新細明體"/>
        <family val="1"/>
        <charset val="136"/>
      </rPr>
      <t>B</t>
    </r>
    <r>
      <rPr>
        <sz val="13.5"/>
        <color theme="1"/>
        <rFont val="新細明體"/>
        <family val="1"/>
        <charset val="136"/>
        <scheme val="minor"/>
      </rPr>
      <t>列數據</t>
    </r>
    <phoneticPr fontId="22" type="noConversion"/>
  </si>
  <si>
    <t>第1列</t>
    <phoneticPr fontId="22" type="noConversion"/>
  </si>
  <si>
    <t>AL</t>
  </si>
  <si>
    <t>阿尔巴尼亚</t>
  </si>
  <si>
    <t>Albania</t>
  </si>
  <si>
    <r>
      <t>得到</t>
    </r>
    <r>
      <rPr>
        <sz val="13.5"/>
        <color theme="1"/>
        <rFont val="新細明體"/>
        <family val="1"/>
        <charset val="136"/>
      </rPr>
      <t>A</t>
    </r>
    <r>
      <rPr>
        <sz val="13.5"/>
        <color theme="1"/>
        <rFont val="新細明體"/>
        <family val="1"/>
        <charset val="136"/>
        <scheme val="minor"/>
      </rPr>
      <t>列數據</t>
    </r>
    <phoneticPr fontId="22" type="noConversion"/>
  </si>
  <si>
    <t>第2列</t>
  </si>
  <si>
    <t>AM</t>
  </si>
  <si>
    <t>亚美尼亚</t>
  </si>
  <si>
    <t>Armenia</t>
  </si>
  <si>
    <t>阿森松</t>
  </si>
  <si>
    <t>Ascension</t>
  </si>
  <si>
    <t>AO</t>
  </si>
  <si>
    <t>安哥拉</t>
  </si>
  <si>
    <t>Angola</t>
  </si>
  <si>
    <t>=VLOOKUP(H2,C:F,2,0)</t>
    <phoneticPr fontId="22" type="noConversion"/>
  </si>
  <si>
    <t>AR</t>
  </si>
  <si>
    <t>阿根廷</t>
  </si>
  <si>
    <t>Argentina</t>
  </si>
  <si>
    <t>AT</t>
  </si>
  <si>
    <t>奥地利</t>
  </si>
  <si>
    <t>Austria</t>
  </si>
  <si>
    <t>=VLOOKUP(H2,B:A,2,0)</t>
    <phoneticPr fontId="22" type="noConversion"/>
  </si>
  <si>
    <t>AU</t>
  </si>
  <si>
    <t>澳大利亚</t>
  </si>
  <si>
    <t>Australia</t>
  </si>
  <si>
    <t>AZ</t>
  </si>
  <si>
    <t>阿塞拜疆</t>
  </si>
  <si>
    <t>Azerbaijan</t>
  </si>
  <si>
    <t>BB</t>
  </si>
  <si>
    <t>巴巴多斯</t>
  </si>
  <si>
    <t>Barbados</t>
  </si>
  <si>
    <t>BD</t>
  </si>
  <si>
    <t>孟加拉国</t>
  </si>
  <si>
    <t>Bangladesh</t>
  </si>
  <si>
    <t>BE</t>
  </si>
  <si>
    <t>比利时</t>
  </si>
  <si>
    <t>Belgium</t>
  </si>
  <si>
    <t>BF</t>
  </si>
  <si>
    <t>布基纳法索</t>
  </si>
  <si>
    <t>Burkina-faso</t>
  </si>
  <si>
    <t>BG</t>
  </si>
  <si>
    <t>保加利亚</t>
  </si>
  <si>
    <t>Bulgaria</t>
  </si>
  <si>
    <t>BH</t>
  </si>
  <si>
    <t>巴林</t>
  </si>
  <si>
    <t>Bahrain</t>
  </si>
  <si>
    <t>BI</t>
  </si>
  <si>
    <t>布隆迪</t>
  </si>
  <si>
    <t>Burundi</t>
  </si>
  <si>
    <t>BJ</t>
  </si>
  <si>
    <t>贝宁</t>
  </si>
  <si>
    <t>Benin</t>
  </si>
  <si>
    <t>BL</t>
  </si>
  <si>
    <t>巴勒斯坦</t>
  </si>
  <si>
    <t>Palestine</t>
  </si>
  <si>
    <t>BM</t>
  </si>
  <si>
    <t>百慕大群岛</t>
  </si>
  <si>
    <t>Bermuda Is.</t>
  </si>
  <si>
    <t>BN</t>
  </si>
  <si>
    <t>文莱</t>
  </si>
  <si>
    <t>Brunei</t>
  </si>
  <si>
    <t>BO</t>
  </si>
  <si>
    <t>玻利维亚</t>
  </si>
  <si>
    <t>Bolivia</t>
  </si>
  <si>
    <t>BR</t>
  </si>
  <si>
    <t>巴西</t>
  </si>
  <si>
    <t>Brazil</t>
  </si>
  <si>
    <t>BS</t>
  </si>
  <si>
    <t>巴哈马</t>
  </si>
  <si>
    <t>Bahamas</t>
  </si>
  <si>
    <t>BW</t>
  </si>
  <si>
    <t>博茨瓦纳</t>
  </si>
  <si>
    <t>Botswana</t>
  </si>
  <si>
    <t>BY</t>
  </si>
  <si>
    <t>白俄罗斯</t>
  </si>
  <si>
    <t>Belarus</t>
  </si>
  <si>
    <t>BZ</t>
  </si>
  <si>
    <t>伯利兹</t>
  </si>
  <si>
    <t>Belize</t>
  </si>
  <si>
    <t>CA</t>
  </si>
  <si>
    <t>加拿大</t>
  </si>
  <si>
    <t>Canada</t>
  </si>
  <si>
    <t>开曼群岛</t>
  </si>
  <si>
    <t>Cayman Is.</t>
  </si>
  <si>
    <t>CF</t>
  </si>
  <si>
    <t>中非共和国</t>
  </si>
  <si>
    <t>Central African Republic</t>
  </si>
  <si>
    <t>CG</t>
  </si>
  <si>
    <t>刚果</t>
  </si>
  <si>
    <t>Congo</t>
  </si>
  <si>
    <t>CH</t>
  </si>
  <si>
    <t>瑞士</t>
  </si>
  <si>
    <t>Switzerland</t>
  </si>
  <si>
    <t>CK</t>
  </si>
  <si>
    <t>库克群岛</t>
  </si>
  <si>
    <t>Cook Is.</t>
  </si>
  <si>
    <t>CL</t>
  </si>
  <si>
    <t>智利</t>
  </si>
  <si>
    <t>Chile</t>
  </si>
  <si>
    <t>CM</t>
  </si>
  <si>
    <t>喀麦隆</t>
  </si>
  <si>
    <t>Cameroon</t>
  </si>
  <si>
    <t>CN</t>
  </si>
  <si>
    <t>中国</t>
  </si>
  <si>
    <t>China</t>
  </si>
  <si>
    <t>CO</t>
  </si>
  <si>
    <t>哥伦比亚</t>
  </si>
  <si>
    <t>Colombia</t>
  </si>
  <si>
    <t>CR</t>
  </si>
  <si>
    <t>哥斯达黎加</t>
  </si>
  <si>
    <t>Costa Rica</t>
  </si>
  <si>
    <t>CS</t>
  </si>
  <si>
    <t>捷克</t>
  </si>
  <si>
    <t>Czech</t>
  </si>
  <si>
    <t>CU</t>
  </si>
  <si>
    <t>古巴</t>
  </si>
  <si>
    <t>Cuba</t>
  </si>
  <si>
    <t>CY</t>
  </si>
  <si>
    <t>塞浦路斯</t>
  </si>
  <si>
    <t>Cyprus</t>
  </si>
  <si>
    <t>CZ</t>
  </si>
  <si>
    <t>Czech Republic</t>
  </si>
  <si>
    <t>DE</t>
  </si>
  <si>
    <t>德国</t>
  </si>
  <si>
    <t>Germany</t>
  </si>
  <si>
    <t>DJ</t>
  </si>
  <si>
    <t>吉布提</t>
  </si>
  <si>
    <t>Djibouti</t>
  </si>
  <si>
    <t>DK</t>
  </si>
  <si>
    <t>丹麦</t>
  </si>
  <si>
    <t>Denmark</t>
  </si>
  <si>
    <t>DO</t>
  </si>
  <si>
    <t>多米尼加共和国</t>
  </si>
  <si>
    <t>Dominica Rep.</t>
  </si>
  <si>
    <t>DZ</t>
  </si>
  <si>
    <t>阿尔及利亚</t>
  </si>
  <si>
    <t>Algeria</t>
  </si>
  <si>
    <t>EC</t>
  </si>
  <si>
    <t>厄瓜多尔</t>
  </si>
  <si>
    <t>Ecuador</t>
  </si>
  <si>
    <t>EE</t>
  </si>
  <si>
    <t>爱沙尼亚</t>
  </si>
  <si>
    <t>Estonia</t>
  </si>
  <si>
    <t>EG</t>
  </si>
  <si>
    <t>埃及</t>
  </si>
  <si>
    <t>Egypt</t>
  </si>
  <si>
    <t>ES</t>
  </si>
  <si>
    <t>西班牙</t>
  </si>
  <si>
    <t>Spain</t>
  </si>
  <si>
    <t>ET</t>
  </si>
  <si>
    <t>埃塞俄比亚</t>
  </si>
  <si>
    <t>Ethiopia</t>
  </si>
  <si>
    <t>FI</t>
  </si>
  <si>
    <t>芬兰</t>
  </si>
  <si>
    <t>Finland</t>
  </si>
  <si>
    <t>FJ</t>
  </si>
  <si>
    <t>斐济</t>
  </si>
  <si>
    <t>Fiji</t>
  </si>
  <si>
    <t>FR</t>
  </si>
  <si>
    <t>法国</t>
  </si>
  <si>
    <t>France</t>
  </si>
  <si>
    <t>GA</t>
  </si>
  <si>
    <t>加蓬</t>
  </si>
  <si>
    <t>Gabon</t>
  </si>
  <si>
    <t>GB</t>
  </si>
  <si>
    <t>英国</t>
  </si>
  <si>
    <t>United Kiongdom</t>
  </si>
  <si>
    <t>GD</t>
  </si>
  <si>
    <t>格林纳达</t>
  </si>
  <si>
    <t>Grenada</t>
  </si>
  <si>
    <t>GE</t>
  </si>
  <si>
    <t>格鲁吉亚</t>
  </si>
  <si>
    <t>Georgia</t>
  </si>
  <si>
    <t>GF</t>
  </si>
  <si>
    <t>法属圭亚那</t>
  </si>
  <si>
    <t>French Guiana</t>
  </si>
  <si>
    <t>GH</t>
  </si>
  <si>
    <t>加纳</t>
  </si>
  <si>
    <t>Ghana</t>
  </si>
  <si>
    <t>GI</t>
  </si>
  <si>
    <t>直布罗陀</t>
  </si>
  <si>
    <t>Gibraltar</t>
  </si>
  <si>
    <t>GM</t>
  </si>
  <si>
    <t>冈比亚</t>
  </si>
  <si>
    <t>Gambia</t>
  </si>
  <si>
    <t>GN</t>
  </si>
  <si>
    <t>几内亚</t>
  </si>
  <si>
    <t>Guinea</t>
  </si>
  <si>
    <t>GR</t>
  </si>
  <si>
    <t>希腊</t>
  </si>
  <si>
    <t>Greece</t>
  </si>
  <si>
    <t>GT</t>
  </si>
  <si>
    <t>危地马拉</t>
  </si>
  <si>
    <t>Guatemala</t>
  </si>
  <si>
    <t>GU</t>
  </si>
  <si>
    <t>关岛</t>
  </si>
  <si>
    <t>Guam</t>
  </si>
  <si>
    <t>GY</t>
  </si>
  <si>
    <t>圭亚那</t>
  </si>
  <si>
    <t>Guyana</t>
  </si>
  <si>
    <t>HK</t>
  </si>
  <si>
    <t>香港特别行政区</t>
  </si>
  <si>
    <t>Hongkong</t>
  </si>
  <si>
    <t>HN</t>
  </si>
  <si>
    <t>洪都拉斯</t>
  </si>
  <si>
    <t>Honduras</t>
  </si>
  <si>
    <t>HT</t>
  </si>
  <si>
    <t>海地</t>
  </si>
  <si>
    <t>Haiti</t>
  </si>
  <si>
    <t>HU</t>
  </si>
  <si>
    <t>匈牙利</t>
  </si>
  <si>
    <t>Hungary</t>
  </si>
  <si>
    <t>ID</t>
  </si>
  <si>
    <t>印度尼西亚</t>
  </si>
  <si>
    <t>Indonesia</t>
  </si>
  <si>
    <t>IE</t>
  </si>
  <si>
    <t>爱尔兰</t>
  </si>
  <si>
    <t>Ireland</t>
  </si>
  <si>
    <t>IL</t>
  </si>
  <si>
    <t>以色列</t>
  </si>
  <si>
    <t>Israel</t>
  </si>
  <si>
    <t>IN</t>
  </si>
  <si>
    <t>印度</t>
  </si>
  <si>
    <t>India</t>
  </si>
  <si>
    <t>IQ</t>
  </si>
  <si>
    <t>伊拉克</t>
  </si>
  <si>
    <t>Iraq</t>
  </si>
  <si>
    <t>IR</t>
  </si>
  <si>
    <t>伊朗</t>
  </si>
  <si>
    <t>Iran</t>
  </si>
  <si>
    <t>IS</t>
  </si>
  <si>
    <t>冰岛</t>
  </si>
  <si>
    <t>Iceland</t>
  </si>
  <si>
    <t>IT</t>
  </si>
  <si>
    <t>意大利</t>
  </si>
  <si>
    <t>Italy</t>
  </si>
  <si>
    <t>科特迪瓦</t>
  </si>
  <si>
    <t>Ivory Coast</t>
  </si>
  <si>
    <t>JM</t>
  </si>
  <si>
    <t>牙买加</t>
  </si>
  <si>
    <t>Jamaica</t>
  </si>
  <si>
    <t>JO</t>
  </si>
  <si>
    <t>约旦</t>
  </si>
  <si>
    <t>Jordan</t>
  </si>
  <si>
    <t>JP</t>
  </si>
  <si>
    <t>日本</t>
  </si>
  <si>
    <t>Japan</t>
  </si>
  <si>
    <t>KE</t>
  </si>
  <si>
    <t>肯尼亚</t>
  </si>
  <si>
    <t>Kenya</t>
  </si>
  <si>
    <t>KG</t>
  </si>
  <si>
    <t>吉尔吉斯坦</t>
  </si>
  <si>
    <t>Kyrgyzstan</t>
  </si>
  <si>
    <t>KH</t>
  </si>
  <si>
    <t>柬埔寨</t>
  </si>
  <si>
    <t>Kampuchea (Cambodia )</t>
  </si>
  <si>
    <t>KP</t>
  </si>
  <si>
    <t>朝鲜</t>
  </si>
  <si>
    <t>North Korea</t>
  </si>
  <si>
    <t>KR</t>
  </si>
  <si>
    <t>韩国</t>
  </si>
  <si>
    <t>Korea</t>
  </si>
  <si>
    <t>KT</t>
  </si>
  <si>
    <t>科特迪瓦共和国</t>
  </si>
  <si>
    <t>Republic of Ivory Coast</t>
  </si>
  <si>
    <t>KW</t>
  </si>
  <si>
    <t>科威特</t>
  </si>
  <si>
    <t>Kuwait</t>
  </si>
  <si>
    <t>KZ</t>
  </si>
  <si>
    <t>哈萨克斯坦</t>
  </si>
  <si>
    <t>Kazakstan</t>
  </si>
  <si>
    <t>LA</t>
  </si>
  <si>
    <t>老挝</t>
  </si>
  <si>
    <t>Laos</t>
  </si>
  <si>
    <t>LB</t>
  </si>
  <si>
    <t>黎巴嫩</t>
  </si>
  <si>
    <t>Lebanon</t>
  </si>
  <si>
    <t>LC</t>
  </si>
  <si>
    <t>圣卢西亚</t>
  </si>
  <si>
    <t>St.Lucia</t>
  </si>
  <si>
    <t>LI</t>
  </si>
  <si>
    <t>列支敦士登</t>
  </si>
  <si>
    <t>Liechtenstein</t>
  </si>
  <si>
    <t>LK</t>
  </si>
  <si>
    <t>斯里兰卡</t>
  </si>
  <si>
    <t>Sri Lanka</t>
  </si>
  <si>
    <t>LR</t>
  </si>
  <si>
    <t>利比里亚</t>
  </si>
  <si>
    <t>Liberia</t>
  </si>
  <si>
    <t>LS</t>
  </si>
  <si>
    <t>莱索托</t>
  </si>
  <si>
    <t>Lesotho</t>
  </si>
  <si>
    <t>LT</t>
  </si>
  <si>
    <t>立陶宛</t>
  </si>
  <si>
    <t>Lithuania</t>
  </si>
  <si>
    <t>LU</t>
  </si>
  <si>
    <t>卢森堡</t>
  </si>
  <si>
    <t>Luxembourg</t>
  </si>
  <si>
    <t>LV</t>
  </si>
  <si>
    <t>拉脱维亚</t>
  </si>
  <si>
    <t>Latvia</t>
  </si>
  <si>
    <t>LY</t>
  </si>
  <si>
    <t>利比亚</t>
  </si>
  <si>
    <t>Libya</t>
  </si>
  <si>
    <t>MA</t>
  </si>
  <si>
    <t>摩洛哥</t>
  </si>
  <si>
    <t>Morocco</t>
  </si>
  <si>
    <t>MC</t>
  </si>
  <si>
    <t>摩纳哥</t>
  </si>
  <si>
    <t>Monaco</t>
  </si>
  <si>
    <t>MD</t>
  </si>
  <si>
    <t>摩尔多瓦</t>
  </si>
  <si>
    <t>Moldova, Republic of</t>
  </si>
  <si>
    <t>MG</t>
  </si>
  <si>
    <t>马达加斯加</t>
  </si>
  <si>
    <t>Madagascar</t>
  </si>
  <si>
    <t>ML</t>
  </si>
  <si>
    <t>马里</t>
  </si>
  <si>
    <t>Mali</t>
  </si>
  <si>
    <t>MM</t>
  </si>
  <si>
    <t>缅甸</t>
  </si>
  <si>
    <t>Burma</t>
  </si>
  <si>
    <t>MN</t>
  </si>
  <si>
    <t>蒙古</t>
  </si>
  <si>
    <t>Mongolia</t>
  </si>
  <si>
    <t>MO</t>
  </si>
  <si>
    <t>澳门</t>
  </si>
  <si>
    <t>Macao</t>
  </si>
  <si>
    <t>MS</t>
  </si>
  <si>
    <t>蒙特塞拉特岛</t>
  </si>
  <si>
    <t>Montserrat Is</t>
  </si>
  <si>
    <t>MT</t>
  </si>
  <si>
    <t>马耳他</t>
  </si>
  <si>
    <t>Malta</t>
  </si>
  <si>
    <t>马里亚那群岛</t>
  </si>
  <si>
    <t>Mariana Is</t>
  </si>
  <si>
    <t>马提尼克</t>
  </si>
  <si>
    <t>Martinique</t>
  </si>
  <si>
    <t>MU</t>
  </si>
  <si>
    <t>毛里求斯</t>
  </si>
  <si>
    <t>Mauritius</t>
  </si>
  <si>
    <t>MV</t>
  </si>
  <si>
    <t>马尔代夫</t>
  </si>
  <si>
    <t>Maldives</t>
  </si>
  <si>
    <t>MW</t>
  </si>
  <si>
    <t>马拉维</t>
  </si>
  <si>
    <t>Malawi</t>
  </si>
  <si>
    <t>MX</t>
  </si>
  <si>
    <t>墨西哥</t>
  </si>
  <si>
    <t>Mexico</t>
  </si>
  <si>
    <t>MY</t>
  </si>
  <si>
    <t>马来西亚</t>
  </si>
  <si>
    <t>Malaysia</t>
  </si>
  <si>
    <t>MZ</t>
  </si>
  <si>
    <t>莫桑比克</t>
  </si>
  <si>
    <t>Mozambique</t>
  </si>
  <si>
    <t>NA</t>
  </si>
  <si>
    <t>纳米比亚</t>
  </si>
  <si>
    <t>Namibia</t>
  </si>
  <si>
    <t>NE</t>
  </si>
  <si>
    <t>尼日尔</t>
  </si>
  <si>
    <t>Niger</t>
  </si>
  <si>
    <t>NG</t>
  </si>
  <si>
    <t>尼日利亚</t>
  </si>
  <si>
    <t>Nigeria</t>
  </si>
  <si>
    <t>NI</t>
  </si>
  <si>
    <t>尼加拉瓜</t>
  </si>
  <si>
    <t>Nicaragua</t>
  </si>
  <si>
    <t>NL</t>
  </si>
  <si>
    <t>荷兰</t>
  </si>
  <si>
    <t>Netherlands</t>
  </si>
  <si>
    <t>NO</t>
  </si>
  <si>
    <t>挪威</t>
  </si>
  <si>
    <t>Norway</t>
  </si>
  <si>
    <t>NP</t>
  </si>
  <si>
    <t>尼泊尔</t>
  </si>
  <si>
    <t>Nepal</t>
  </si>
  <si>
    <t>荷属安的列斯</t>
  </si>
  <si>
    <t>Netheriands Antilles</t>
  </si>
  <si>
    <t>NR</t>
  </si>
  <si>
    <t>瑙鲁</t>
  </si>
  <si>
    <t>Nauru</t>
  </si>
  <si>
    <t>NZ</t>
  </si>
  <si>
    <t>新西兰</t>
  </si>
  <si>
    <t>New Zealand</t>
  </si>
  <si>
    <t>OM</t>
  </si>
  <si>
    <t>阿曼</t>
  </si>
  <si>
    <t>Oman</t>
  </si>
  <si>
    <t>PA</t>
  </si>
  <si>
    <t>巴拿马</t>
  </si>
  <si>
    <t>Panama</t>
  </si>
  <si>
    <t>PE</t>
  </si>
  <si>
    <t>秘鲁</t>
  </si>
  <si>
    <t>Peru</t>
  </si>
  <si>
    <t>PF</t>
  </si>
  <si>
    <t>法属玻利尼西亚</t>
  </si>
  <si>
    <t>French Polynesia</t>
  </si>
  <si>
    <t>PG</t>
  </si>
  <si>
    <t>巴布亚新几内亚</t>
  </si>
  <si>
    <t>Papua New Cuinea</t>
  </si>
  <si>
    <t>PH</t>
  </si>
  <si>
    <t>菲律宾</t>
  </si>
  <si>
    <t>Philippines</t>
  </si>
  <si>
    <t>PK</t>
  </si>
  <si>
    <t>巴基斯坦</t>
  </si>
  <si>
    <t>Pakistan</t>
  </si>
  <si>
    <t>PL</t>
  </si>
  <si>
    <t>波兰</t>
  </si>
  <si>
    <t>Poland</t>
  </si>
  <si>
    <t>PR</t>
  </si>
  <si>
    <t>波多黎各</t>
  </si>
  <si>
    <t>Puerto Rico</t>
  </si>
  <si>
    <t>PT</t>
  </si>
  <si>
    <t>葡萄牙</t>
  </si>
  <si>
    <t>Portugal</t>
  </si>
  <si>
    <t>PY</t>
  </si>
  <si>
    <t>巴拉圭</t>
  </si>
  <si>
    <t>Paraguay</t>
  </si>
  <si>
    <t>QA</t>
  </si>
  <si>
    <t>卡塔尔</t>
  </si>
  <si>
    <t>Qatar</t>
  </si>
  <si>
    <t>留尼旺</t>
  </si>
  <si>
    <t>Reunion</t>
  </si>
  <si>
    <t>RO</t>
  </si>
  <si>
    <t>罗马尼亚</t>
  </si>
  <si>
    <t>Romania</t>
  </si>
  <si>
    <t>RU</t>
  </si>
  <si>
    <t>俄罗斯</t>
  </si>
  <si>
    <t>Russia</t>
  </si>
  <si>
    <t>SA</t>
  </si>
  <si>
    <t>沙特阿拉伯</t>
  </si>
  <si>
    <t>Saudi Arabia</t>
  </si>
  <si>
    <t>SB</t>
  </si>
  <si>
    <t>所罗门群岛</t>
  </si>
  <si>
    <t>Solomon Is</t>
  </si>
  <si>
    <t>SC</t>
  </si>
  <si>
    <t>塞舌尔</t>
  </si>
  <si>
    <t>Seychelles</t>
  </si>
  <si>
    <t>SD</t>
  </si>
  <si>
    <t>苏丹</t>
  </si>
  <si>
    <t>Sudan</t>
  </si>
  <si>
    <t>SE</t>
  </si>
  <si>
    <t>瑞典</t>
  </si>
  <si>
    <t>Sweden</t>
  </si>
  <si>
    <t>SG</t>
  </si>
  <si>
    <t>新加坡</t>
  </si>
  <si>
    <t>Singapore</t>
  </si>
  <si>
    <t>SI</t>
  </si>
  <si>
    <t>斯洛文尼亚</t>
  </si>
  <si>
    <t>Slovenia</t>
  </si>
  <si>
    <t>SK</t>
  </si>
  <si>
    <t>斯洛伐克</t>
  </si>
  <si>
    <t>Slovakia</t>
  </si>
  <si>
    <t>SL</t>
  </si>
  <si>
    <t>塞拉利昂</t>
  </si>
  <si>
    <t>Sierra Leone</t>
  </si>
  <si>
    <t>SM</t>
  </si>
  <si>
    <t>圣马力诺</t>
  </si>
  <si>
    <t>San Marino</t>
  </si>
  <si>
    <t>东萨摩亚(美)</t>
  </si>
  <si>
    <t>Samoa Eastern</t>
  </si>
  <si>
    <t>西萨摩亚</t>
  </si>
  <si>
    <t>SN</t>
  </si>
  <si>
    <t>塞内加尔</t>
  </si>
  <si>
    <t>Senegal</t>
  </si>
  <si>
    <t>SO</t>
  </si>
  <si>
    <t>索马里</t>
  </si>
  <si>
    <t>Somali</t>
  </si>
  <si>
    <t>SR</t>
  </si>
  <si>
    <t>苏里南</t>
  </si>
  <si>
    <t>Suriname</t>
  </si>
  <si>
    <t>ST</t>
  </si>
  <si>
    <t>圣多美和普林西比</t>
  </si>
  <si>
    <t>Sao Tome and Principe</t>
  </si>
  <si>
    <t>SV</t>
  </si>
  <si>
    <t>萨尔瓦多</t>
  </si>
  <si>
    <t>EI Salvador</t>
  </si>
  <si>
    <t>SY</t>
  </si>
  <si>
    <t>叙利亚</t>
  </si>
  <si>
    <t>Syria</t>
  </si>
  <si>
    <t>SZ</t>
  </si>
  <si>
    <t>斯威士兰</t>
  </si>
  <si>
    <t>Swaziland</t>
  </si>
  <si>
    <t>TD</t>
  </si>
  <si>
    <t>乍得</t>
  </si>
  <si>
    <t>Chad</t>
  </si>
  <si>
    <t>TG</t>
  </si>
  <si>
    <t>多哥</t>
  </si>
  <si>
    <t>Togo</t>
  </si>
  <si>
    <t>TH</t>
  </si>
  <si>
    <t>泰国</t>
  </si>
  <si>
    <t>Thailand</t>
  </si>
  <si>
    <t>TJ</t>
  </si>
  <si>
    <t>塔吉克斯坦</t>
  </si>
  <si>
    <t>Tajikstan</t>
  </si>
  <si>
    <t>TM</t>
  </si>
  <si>
    <t>土库曼斯坦</t>
  </si>
  <si>
    <t>Turkmenistan</t>
  </si>
  <si>
    <t>TN</t>
  </si>
  <si>
    <t>突尼斯</t>
  </si>
  <si>
    <t>Tunisia</t>
  </si>
  <si>
    <t>TO</t>
  </si>
  <si>
    <t>汤加</t>
  </si>
  <si>
    <t>Tonga</t>
  </si>
  <si>
    <t>TR</t>
  </si>
  <si>
    <t>土耳其</t>
  </si>
  <si>
    <t>Turkey</t>
  </si>
  <si>
    <t>TT</t>
  </si>
  <si>
    <t>特立尼达和多巴哥</t>
  </si>
  <si>
    <t>Trinidad and Tobago</t>
  </si>
  <si>
    <t>TW</t>
  </si>
  <si>
    <t>台湾省</t>
  </si>
  <si>
    <t>Taiwan</t>
  </si>
  <si>
    <t>TZ</t>
  </si>
  <si>
    <t>坦桑尼亚</t>
  </si>
  <si>
    <t>Tanzania</t>
  </si>
  <si>
    <t>UA</t>
  </si>
  <si>
    <t>乌克兰</t>
  </si>
  <si>
    <t>Ukraine</t>
  </si>
  <si>
    <t>UG</t>
  </si>
  <si>
    <t>乌干达</t>
  </si>
  <si>
    <t>Uganda</t>
  </si>
  <si>
    <t>US</t>
  </si>
  <si>
    <t>美国</t>
  </si>
  <si>
    <t>United States of America</t>
  </si>
  <si>
    <t>UY</t>
  </si>
  <si>
    <t>乌拉圭</t>
  </si>
  <si>
    <t>Uruguay</t>
  </si>
  <si>
    <t>UZ</t>
  </si>
  <si>
    <t>乌兹别克斯坦</t>
  </si>
  <si>
    <t>Uzbekistan</t>
  </si>
  <si>
    <t>VC</t>
  </si>
  <si>
    <t>圣文森特岛</t>
  </si>
  <si>
    <t>Saint Vincent</t>
  </si>
  <si>
    <t>VE</t>
  </si>
  <si>
    <t>委内瑞拉</t>
  </si>
  <si>
    <t>Venezuela</t>
  </si>
  <si>
    <t>VN</t>
  </si>
  <si>
    <t>越南</t>
  </si>
  <si>
    <t>Vietnam</t>
  </si>
  <si>
    <t>YE</t>
  </si>
  <si>
    <t>也门</t>
  </si>
  <si>
    <t>Yemen</t>
  </si>
  <si>
    <t>YU</t>
  </si>
  <si>
    <t>南斯拉夫</t>
  </si>
  <si>
    <t>Yugoslavia</t>
  </si>
  <si>
    <t>ZA</t>
  </si>
  <si>
    <t>南非</t>
  </si>
  <si>
    <t>South Africa</t>
  </si>
  <si>
    <t>ZM</t>
  </si>
  <si>
    <t>赞比亚</t>
  </si>
  <si>
    <t>Zambia</t>
  </si>
  <si>
    <t>ZR</t>
  </si>
  <si>
    <t>扎伊尔</t>
  </si>
  <si>
    <t>Zaire</t>
  </si>
  <si>
    <t>ZW</t>
  </si>
  <si>
    <t>津巴布韦</t>
  </si>
  <si>
    <t>Zimbabwe</t>
  </si>
  <si>
    <t>ID</t>
    <phoneticPr fontId="27" type="noConversion"/>
  </si>
  <si>
    <t>Code_dpt</t>
    <phoneticPr fontId="22" type="noConversion"/>
  </si>
  <si>
    <t>組別</t>
  </si>
  <si>
    <t>姓名</t>
  </si>
  <si>
    <t>職稱</t>
  </si>
  <si>
    <t>電話</t>
    <phoneticPr fontId="22" type="noConversion"/>
  </si>
  <si>
    <t>email</t>
    <phoneticPr fontId="22" type="noConversion"/>
  </si>
  <si>
    <t>辦公室</t>
    <phoneticPr fontId="22" type="noConversion"/>
  </si>
  <si>
    <t>到職日期</t>
    <phoneticPr fontId="27" type="noConversion"/>
  </si>
  <si>
    <t>備註</t>
    <phoneticPr fontId="22" type="noConversion"/>
  </si>
  <si>
    <t>NO</t>
    <phoneticPr fontId="27" type="noConversion"/>
  </si>
  <si>
    <t>行政室</t>
  </si>
  <si>
    <t>顏嗣鈞</t>
  </si>
  <si>
    <t>主任</t>
  </si>
  <si>
    <t>hcyen@ntu.edu.tw</t>
  </si>
  <si>
    <t>01</t>
    <phoneticPr fontId="27" type="noConversion"/>
  </si>
  <si>
    <t>A001</t>
  </si>
  <si>
    <t>=XLOOKUP(T2,A:A,D:D)</t>
    <phoneticPr fontId="22" type="noConversion"/>
  </si>
  <si>
    <t>=XLOOKUP(T2,A:A,B:B)</t>
    <phoneticPr fontId="22" type="noConversion"/>
  </si>
  <si>
    <t>陳雅君</t>
  </si>
  <si>
    <t>幹事</t>
  </si>
  <si>
    <t>yachun2240@ntu.edu.tw</t>
  </si>
  <si>
    <t>02</t>
  </si>
  <si>
    <t>陳郁文</t>
  </si>
  <si>
    <t>編審</t>
  </si>
  <si>
    <t>ywc73@ntu.edu.tw</t>
  </si>
  <si>
    <t>03</t>
  </si>
  <si>
    <t>陳玟諭</t>
  </si>
  <si>
    <t>副理</t>
  </si>
  <si>
    <t>wenyuchen@ntu.edu.tw</t>
  </si>
  <si>
    <t>04</t>
  </si>
  <si>
    <t>石馥瑄</t>
  </si>
  <si>
    <t>全職工讀生</t>
  </si>
  <si>
    <t>sfx0320@ntu.edu.tw</t>
  </si>
  <si>
    <t>05</t>
  </si>
  <si>
    <t>A090</t>
  </si>
  <si>
    <t>=XLOOKUP(T2,A:A,D:D,"找不到")</t>
    <phoneticPr fontId="22" type="noConversion"/>
  </si>
  <si>
    <t>教學組</t>
  </si>
  <si>
    <t>林維真</t>
  </si>
  <si>
    <t>組長</t>
  </si>
  <si>
    <t>vjlin@ntu.edu.tw</t>
  </si>
  <si>
    <t>06</t>
  </si>
  <si>
    <t>黃淑玲</t>
  </si>
  <si>
    <t>經理</t>
  </si>
  <si>
    <t>huangsl@ntu.edu.tw</t>
  </si>
  <si>
    <t>07</t>
  </si>
  <si>
    <t>黃瀞瑩</t>
  </si>
  <si>
    <t>hitomihuang@ntu.edu.tw</t>
  </si>
  <si>
    <t>08</t>
  </si>
  <si>
    <t>辛  宜</t>
    <phoneticPr fontId="27" type="noConversion"/>
  </si>
  <si>
    <t>hsinlt2140@ntu.edu.tw</t>
    <phoneticPr fontId="27" type="noConversion"/>
  </si>
  <si>
    <t>09</t>
  </si>
  <si>
    <t>作業組</t>
  </si>
  <si>
    <t>江介宏</t>
  </si>
  <si>
    <t>jhjiang@ntu.edu.tw</t>
  </si>
  <si>
    <t>10</t>
  </si>
  <si>
    <t>張傑生</t>
  </si>
  <si>
    <t>jsc@ntu.edu.tw</t>
  </si>
  <si>
    <t>11</t>
  </si>
  <si>
    <t>許凱平</t>
  </si>
  <si>
    <t>kphsu@ntu.edu.tw</t>
  </si>
  <si>
    <t>12</t>
  </si>
  <si>
    <t>張素芬</t>
  </si>
  <si>
    <t>michellecheung@ntu.edu.tw</t>
  </si>
  <si>
    <t>13</t>
  </si>
  <si>
    <t>黃斐曼</t>
  </si>
  <si>
    <t>huangfeiman@ntu.edu.tw</t>
  </si>
  <si>
    <t>14</t>
  </si>
  <si>
    <t>許可欣</t>
  </si>
  <si>
    <t>kshsu@ntu.edu.tw</t>
  </si>
  <si>
    <t>15</t>
  </si>
  <si>
    <t>高鈺盛</t>
  </si>
  <si>
    <t>yusengao@ntu.edu.tw</t>
  </si>
  <si>
    <t>16</t>
  </si>
  <si>
    <t>張書元</t>
  </si>
  <si>
    <t>sychang01@ntu.edu.tw</t>
  </si>
  <si>
    <t>17</t>
  </si>
  <si>
    <t>黃致遠</t>
  </si>
  <si>
    <t>sidneyhuang@ntu.edu.tw</t>
  </si>
  <si>
    <t>18</t>
  </si>
  <si>
    <t>林子南</t>
  </si>
  <si>
    <t>zihnan@ntu.edu.tw</t>
  </si>
  <si>
    <t>19</t>
  </si>
  <si>
    <t>李  杰</t>
  </si>
  <si>
    <t>jaylee@ntu.edu.tw</t>
  </si>
  <si>
    <t>20</t>
  </si>
  <si>
    <t>網路組</t>
  </si>
  <si>
    <t>謝宏昀</t>
  </si>
  <si>
    <t>hungyun@ntu.edu.tw</t>
  </si>
  <si>
    <t>21</t>
  </si>
  <si>
    <t>邵喻美</t>
  </si>
  <si>
    <t>程式設計師</t>
  </si>
  <si>
    <t>madeline@ntu.edu.tw</t>
  </si>
  <si>
    <t>22</t>
  </si>
  <si>
    <t>李美雯</t>
  </si>
  <si>
    <t>mli@ntu.edu.tw</t>
  </si>
  <si>
    <t>23</t>
  </si>
  <si>
    <t>曾保彰</t>
  </si>
  <si>
    <t>技正</t>
  </si>
  <si>
    <t>bjtseng@ntu.edu.tw</t>
  </si>
  <si>
    <t>24</t>
  </si>
  <si>
    <t>游子興</t>
  </si>
  <si>
    <t>davisyou@ntu.edu.tw</t>
  </si>
  <si>
    <t>25</t>
  </si>
  <si>
    <t>李墨軒</t>
  </si>
  <si>
    <t>molee@ntu.edu.tw</t>
  </si>
  <si>
    <t>26</t>
  </si>
  <si>
    <t>許家瑜</t>
  </si>
  <si>
    <t>研究助理</t>
  </si>
  <si>
    <t>hsuchiayu@ntu.edu.tw</t>
  </si>
  <si>
    <t>27</t>
  </si>
  <si>
    <t>江培文</t>
  </si>
  <si>
    <t>peiwen@ntu.edu.tw</t>
  </si>
  <si>
    <t>28</t>
  </si>
  <si>
    <t>童鵬哲</t>
  </si>
  <si>
    <t>計畫研究專員</t>
  </si>
  <si>
    <t>pctung@ntu.edu.tw</t>
  </si>
  <si>
    <t>29</t>
  </si>
  <si>
    <t>林盈蓁</t>
  </si>
  <si>
    <t>技工</t>
  </si>
  <si>
    <t>撥63366再撥9</t>
  </si>
  <si>
    <t>andrealin@ntu.edu.tw</t>
  </si>
  <si>
    <t>新農化館</t>
    <phoneticPr fontId="27" type="noConversion"/>
  </si>
  <si>
    <t>30</t>
  </si>
  <si>
    <t>游麗華</t>
  </si>
  <si>
    <t>teresayu@ntu.edu.tw</t>
  </si>
  <si>
    <t>31</t>
  </si>
  <si>
    <t>林佳慧</t>
  </si>
  <si>
    <t>jenniferlin@ntu.edu.tw</t>
  </si>
  <si>
    <t>32</t>
  </si>
  <si>
    <t>程式組</t>
  </si>
  <si>
    <t>鄭卜壬</t>
  </si>
  <si>
    <t>pjcheng@ntu.edu.tw</t>
  </si>
  <si>
    <t>33</t>
  </si>
  <si>
    <t>陳啟煌</t>
  </si>
  <si>
    <t>vinchen@ntu.edu.tw</t>
  </si>
  <si>
    <t>34</t>
  </si>
  <si>
    <t>傅潔瑩</t>
  </si>
  <si>
    <t>jerryfu@ntu.edu.tw</t>
  </si>
  <si>
    <t>35</t>
  </si>
  <si>
    <t>曹桂漪</t>
  </si>
  <si>
    <t>cindytsao@ntu.edu.tw</t>
  </si>
  <si>
    <t>36</t>
  </si>
  <si>
    <t>37</t>
  </si>
  <si>
    <t>鄧永清</t>
  </si>
  <si>
    <t>技士</t>
  </si>
  <si>
    <t>ycdeng@ntu.edu.tw</t>
  </si>
  <si>
    <t>38</t>
  </si>
  <si>
    <t>39</t>
  </si>
  <si>
    <t>洪嘉駿</t>
  </si>
  <si>
    <t>jiajiunhung@ntu.edu.tw</t>
  </si>
  <si>
    <t>40</t>
  </si>
  <si>
    <t>黃玫瑋</t>
  </si>
  <si>
    <t>ccchmw@ntu.edu.tw</t>
  </si>
  <si>
    <t>41</t>
  </si>
  <si>
    <t>沈宜儒</t>
  </si>
  <si>
    <t>yijushen@ntu.edu.tw</t>
  </si>
  <si>
    <t>42</t>
  </si>
  <si>
    <t>陳雨廷</t>
  </si>
  <si>
    <t>ytytchen@ntu.edu.tw</t>
  </si>
  <si>
    <t>43</t>
  </si>
  <si>
    <t>鄭彥宏</t>
  </si>
  <si>
    <t>yhzheng@ntu.edu.tw</t>
  </si>
  <si>
    <t>44</t>
  </si>
  <si>
    <t>陳怡如</t>
  </si>
  <si>
    <t>juliachen@ntu.edu.tw</t>
  </si>
  <si>
    <t>45</t>
  </si>
  <si>
    <t>陳淑萍</t>
  </si>
  <si>
    <t>missachen@ntu.edu.tw</t>
  </si>
  <si>
    <t>46</t>
  </si>
  <si>
    <t>張如媚</t>
  </si>
  <si>
    <t>bobochang@ntu.edu.tw</t>
  </si>
  <si>
    <t>47</t>
  </si>
  <si>
    <t>48</t>
  </si>
  <si>
    <t>葉崇志</t>
  </si>
  <si>
    <t>chungchih@ntu.edu.tw</t>
  </si>
  <si>
    <t>49</t>
  </si>
  <si>
    <t>楊家榮</t>
  </si>
  <si>
    <t>ericy815@ntu.edu.tw</t>
  </si>
  <si>
    <t>50</t>
  </si>
  <si>
    <t>陳俊佑</t>
  </si>
  <si>
    <t>jackchen1113@ntu.edu.tw</t>
  </si>
  <si>
    <t>51</t>
  </si>
  <si>
    <t>陳永樵</t>
  </si>
  <si>
    <t>系統分析設計師</t>
  </si>
  <si>
    <t>chenyc@ntu.edu.tw</t>
  </si>
  <si>
    <t>52</t>
  </si>
  <si>
    <t>唐瑤瑤</t>
  </si>
  <si>
    <t>danatang@ntu.edu.tw</t>
  </si>
  <si>
    <t>53</t>
  </si>
  <si>
    <t>[search_mode]為-1=由下找往上找</t>
  </si>
  <si>
    <t>部份查詢-2-萬用字元</t>
  </si>
  <si>
    <t>[match_mode]</t>
  </si>
  <si>
    <t>A</t>
  </si>
  <si>
    <t>許*</t>
  </si>
  <si>
    <t>A</t>
    <phoneticPr fontId="22" type="noConversion"/>
  </si>
  <si>
    <t>B</t>
  </si>
  <si>
    <t>C</t>
  </si>
  <si>
    <t>D</t>
  </si>
  <si>
    <t>E</t>
    <phoneticPr fontId="22" type="noConversion"/>
  </si>
  <si>
    <t>=OFFSET(組別,1,0,COUNTA(組別)-1,1)</t>
    <phoneticPr fontId="14" type="noConversion"/>
  </si>
  <si>
    <t>到職月份</t>
    <phoneticPr fontId="27" type="noConversion"/>
  </si>
  <si>
    <t>本月</t>
    <phoneticPr fontId="14" type="noConversion"/>
  </si>
  <si>
    <t>資料驗證</t>
    <phoneticPr fontId="14" type="noConversion"/>
  </si>
  <si>
    <t>=FILTER(staff,MONTH(I2:I54)=MONTH(TODAY()),"本月無資料")</t>
    <phoneticPr fontId="14" type="noConversion"/>
  </si>
  <si>
    <t>=FILTER(staff,MONTH(I2:I54)=S9,"本月無資料")</t>
    <phoneticPr fontId="14" type="noConversion"/>
  </si>
  <si>
    <t>Code_dpt</t>
  </si>
  <si>
    <t>電話</t>
  </si>
  <si>
    <t>email</t>
  </si>
  <si>
    <t>辦公室</t>
  </si>
  <si>
    <t>到職日期</t>
  </si>
  <si>
    <t>備註</t>
  </si>
  <si>
    <t>組別</t>
    <phoneticPr fontId="27" type="noConversion"/>
  </si>
  <si>
    <t>職稱</t>
    <phoneticPr fontId="27" type="noConversion"/>
  </si>
  <si>
    <r>
      <t>=FILTER(staff,MONTH(</t>
    </r>
    <r>
      <rPr>
        <b/>
        <sz val="12"/>
        <color rgb="FFFF0000"/>
        <rFont val="新細明體"/>
        <family val="2"/>
        <charset val="136"/>
      </rPr>
      <t>到職日期</t>
    </r>
    <r>
      <rPr>
        <b/>
        <sz val="12"/>
        <color rgb="FFFF0000"/>
        <rFont val="Segoe UI"/>
        <family val="2"/>
      </rPr>
      <t>)=Q2,"</t>
    </r>
    <r>
      <rPr>
        <b/>
        <sz val="12"/>
        <color rgb="FFFF0000"/>
        <rFont val="新細明體"/>
        <family val="2"/>
        <charset val="136"/>
      </rPr>
      <t>本月無資料</t>
    </r>
    <r>
      <rPr>
        <b/>
        <sz val="12"/>
        <color rgb="FFFF0000"/>
        <rFont val="Segoe UI"/>
        <family val="2"/>
      </rPr>
      <t>")</t>
    </r>
    <phoneticPr fontId="14" type="noConversion"/>
  </si>
  <si>
    <t>按欄排序</t>
    <phoneticPr fontId="27" type="noConversion"/>
  </si>
  <si>
    <t>按列排序</t>
    <phoneticPr fontId="27" type="noConversion"/>
  </si>
  <si>
    <t>unique</t>
    <phoneticPr fontId="14" type="noConversion"/>
  </si>
  <si>
    <t>程式設計師</t>
    <phoneticPr fontId="14" type="noConversion"/>
  </si>
  <si>
    <t>sort+unique</t>
    <phoneticPr fontId="14" type="noConversion"/>
  </si>
  <si>
    <t>=OFFSET(月份,1,0,COUNTA(月份)-1,1)</t>
    <phoneticPr fontId="14" type="noConversion"/>
  </si>
  <si>
    <t>365版本</t>
    <phoneticPr fontId="14" type="noConversion"/>
  </si>
  <si>
    <t>=S2#、=Q2#</t>
    <phoneticPr fontId="14" type="noConversion"/>
  </si>
  <si>
    <t>=OFFSET</t>
    <phoneticPr fontId="14" type="noConversion"/>
  </si>
  <si>
    <t>=FILTER(staff,C2:C54=Y2,"本月無資料")</t>
    <phoneticPr fontId="14" type="noConversion"/>
  </si>
  <si>
    <t>=FILTER(staff,MONTH(到職日期)=X2*(C2:C54=Y2),"本月無資料")</t>
    <phoneticPr fontId="14" type="noConversion"/>
  </si>
  <si>
    <t>多重條件</t>
    <phoneticPr fontId="14" type="noConversion"/>
  </si>
  <si>
    <t>=FILTER巢狀公式+陣列</t>
    <phoneticPr fontId="14" type="noConversion"/>
  </si>
  <si>
    <t>=FILTER+choose公式</t>
    <phoneticPr fontId="14" type="noConversion"/>
  </si>
  <si>
    <t>多條件</t>
  </si>
  <si>
    <t>month</t>
    <phoneticPr fontId="14" type="noConversion"/>
  </si>
  <si>
    <t>=FILTER(staff,(MONTH(到職日期)=R2)*(C2:C54=S2)*(E2:E54=T2),"本月無資料")</t>
    <phoneticPr fontId="14" type="noConversion"/>
  </si>
  <si>
    <t>=FILTER(staff,(MONTH(到職日期)=R2)+(C2:C54=S2)+(E2:E54=T2),"本月無資料")</t>
    <phoneticPr fontId="14" type="noConversion"/>
  </si>
  <si>
    <t>and</t>
    <phoneticPr fontId="14" type="noConversion"/>
  </si>
  <si>
    <t>or</t>
  </si>
  <si>
    <r>
      <t>=FILTER(staff,MONTH(</t>
    </r>
    <r>
      <rPr>
        <b/>
        <sz val="12"/>
        <color rgb="FFFF0000"/>
        <rFont val="新細明體"/>
        <family val="2"/>
        <charset val="136"/>
      </rPr>
      <t>到職日期</t>
    </r>
    <r>
      <rPr>
        <b/>
        <sz val="12"/>
        <color rgb="FFFF0000"/>
        <rFont val="Segoe UI"/>
        <family val="2"/>
      </rPr>
      <t>)=R2,"</t>
    </r>
    <r>
      <rPr>
        <b/>
        <sz val="12"/>
        <color rgb="FFFF0000"/>
        <rFont val="新細明體"/>
        <family val="2"/>
        <charset val="136"/>
      </rPr>
      <t>本月無資料</t>
    </r>
    <r>
      <rPr>
        <b/>
        <sz val="12"/>
        <color rgb="FFFF0000"/>
        <rFont val="Segoe UI"/>
        <family val="2"/>
      </rPr>
      <t>")</t>
    </r>
    <phoneticPr fontId="14" type="noConversion"/>
  </si>
  <si>
    <t xml:space="preserve"> index_num 是個陣列</t>
    <phoneticPr fontId="27" type="noConversion"/>
  </si>
  <si>
    <t>資料</t>
  </si>
  <si>
    <t>1st</t>
  </si>
  <si>
    <t>Nails</t>
  </si>
  <si>
    <t>2nd</t>
  </si>
  <si>
    <t>Screws</t>
  </si>
  <si>
    <t>3rd</t>
  </si>
  <si>
    <t>Nuts</t>
  </si>
  <si>
    <t>Finished</t>
  </si>
  <si>
    <t>Bolts</t>
  </si>
  <si>
    <t>公式</t>
  </si>
  <si>
    <r>
      <t>敘述</t>
    </r>
    <r>
      <rPr>
        <b/>
        <sz val="12"/>
        <rFont val="Tahoma"/>
        <family val="2"/>
      </rPr>
      <t xml:space="preserve"> (</t>
    </r>
    <r>
      <rPr>
        <b/>
        <sz val="12"/>
        <rFont val="新細明體"/>
        <family val="1"/>
        <charset val="136"/>
      </rPr>
      <t>結果</t>
    </r>
    <r>
      <rPr>
        <b/>
        <sz val="12"/>
        <rFont val="Tahoma"/>
        <family val="2"/>
      </rPr>
      <t>)</t>
    </r>
  </si>
  <si>
    <r>
      <t>第二個引數</t>
    </r>
    <r>
      <rPr>
        <sz val="12"/>
        <rFont val="Tahoma"/>
        <family val="2"/>
      </rPr>
      <t xml:space="preserve"> A3 </t>
    </r>
    <r>
      <rPr>
        <sz val="11"/>
        <color theme="1"/>
        <rFont val="新細明體"/>
        <family val="2"/>
        <scheme val="minor"/>
      </rPr>
      <t>的結果</t>
    </r>
    <r>
      <rPr>
        <sz val="12"/>
        <rFont val="Tahoma"/>
        <family val="2"/>
      </rPr>
      <t xml:space="preserve"> (2nd)</t>
    </r>
  </si>
  <si>
    <r>
      <t>加總</t>
    </r>
    <r>
      <rPr>
        <sz val="12"/>
        <rFont val="Tahoma"/>
        <family val="2"/>
      </rPr>
      <t xml:space="preserve"> e3:e4 (68)</t>
    </r>
    <phoneticPr fontId="27" type="noConversion"/>
  </si>
  <si>
    <r>
      <t>第四個引數</t>
    </r>
    <r>
      <rPr>
        <sz val="12"/>
        <rFont val="Tahoma"/>
        <family val="2"/>
      </rPr>
      <t xml:space="preserve"> B5 </t>
    </r>
    <r>
      <rPr>
        <sz val="11"/>
        <color theme="1"/>
        <rFont val="新細明體"/>
        <family val="2"/>
        <scheme val="minor"/>
      </rPr>
      <t>的結果</t>
    </r>
    <r>
      <rPr>
        <sz val="12"/>
        <rFont val="Tahoma"/>
        <family val="2"/>
      </rPr>
      <t xml:space="preserve"> (Bolts)</t>
    </r>
  </si>
  <si>
    <t xml:space="preserve">CHOOSE </t>
  </si>
  <si>
    <r>
      <t>使用</t>
    </r>
    <r>
      <rPr>
        <sz val="12"/>
        <color rgb="FF0070C0"/>
        <rFont val="Tahoma"/>
        <family val="2"/>
      </rPr>
      <t xml:space="preserve"> index_num </t>
    </r>
    <r>
      <rPr>
        <sz val="12"/>
        <color rgb="FF0070C0"/>
        <rFont val="新細明體"/>
        <family val="1"/>
        <charset val="136"/>
      </rPr>
      <t>自引數清單中傳回相對應的引數數值，引數的個數可由</t>
    </r>
    <r>
      <rPr>
        <sz val="12"/>
        <color rgb="FF0070C0"/>
        <rFont val="Tahoma"/>
        <family val="2"/>
      </rPr>
      <t xml:space="preserve"> 1 </t>
    </r>
    <r>
      <rPr>
        <sz val="12"/>
        <color rgb="FF0070C0"/>
        <rFont val="新細明體"/>
        <family val="1"/>
        <charset val="136"/>
      </rPr>
      <t>到</t>
    </r>
    <r>
      <rPr>
        <sz val="12"/>
        <color rgb="FF0070C0"/>
        <rFont val="Tahoma"/>
        <family val="2"/>
      </rPr>
      <t xml:space="preserve"> 254 </t>
    </r>
    <r>
      <rPr>
        <sz val="12"/>
        <color rgb="FF0070C0"/>
        <rFont val="新細明體"/>
        <family val="1"/>
        <charset val="136"/>
      </rPr>
      <t>個。例如，如果引數值</t>
    </r>
    <r>
      <rPr>
        <sz val="12"/>
        <color rgb="FF0070C0"/>
        <rFont val="Tahoma"/>
        <family val="2"/>
      </rPr>
      <t xml:space="preserve"> value1 </t>
    </r>
    <r>
      <rPr>
        <sz val="12"/>
        <color rgb="FF0070C0"/>
        <rFont val="新細明體"/>
        <family val="1"/>
        <charset val="136"/>
      </rPr>
      <t>到</t>
    </r>
    <r>
      <rPr>
        <sz val="12"/>
        <color rgb="FF0070C0"/>
        <rFont val="Tahoma"/>
        <family val="2"/>
      </rPr>
      <t xml:space="preserve"> value7 </t>
    </r>
    <r>
      <rPr>
        <sz val="12"/>
        <color rgb="FF0070C0"/>
        <rFont val="新細明體"/>
        <family val="1"/>
        <charset val="136"/>
      </rPr>
      <t>分別代表星期一到星期日，則</t>
    </r>
    <r>
      <rPr>
        <sz val="12"/>
        <color rgb="FF0070C0"/>
        <rFont val="Tahoma"/>
        <family val="2"/>
      </rPr>
      <t xml:space="preserve"> CHOOSE </t>
    </r>
    <r>
      <rPr>
        <sz val="12"/>
        <color rgb="FF0070C0"/>
        <rFont val="新細明體"/>
        <family val="1"/>
        <charset val="136"/>
      </rPr>
      <t>函數便可以根據範圍在</t>
    </r>
    <r>
      <rPr>
        <sz val="12"/>
        <color rgb="FF0070C0"/>
        <rFont val="Tahoma"/>
        <family val="2"/>
      </rPr>
      <t xml:space="preserve"> 1 </t>
    </r>
    <r>
      <rPr>
        <sz val="12"/>
        <color rgb="FF0070C0"/>
        <rFont val="新細明體"/>
        <family val="1"/>
        <charset val="136"/>
      </rPr>
      <t>到</t>
    </r>
    <r>
      <rPr>
        <sz val="12"/>
        <color rgb="FF0070C0"/>
        <rFont val="Tahoma"/>
        <family val="2"/>
      </rPr>
      <t xml:space="preserve"> 7 </t>
    </r>
    <r>
      <rPr>
        <sz val="12"/>
        <color rgb="FF0070C0"/>
        <rFont val="新細明體"/>
        <family val="1"/>
        <charset val="136"/>
      </rPr>
      <t>之間</t>
    </r>
    <r>
      <rPr>
        <sz val="12"/>
        <color rgb="FF0070C0"/>
        <rFont val="Tahoma"/>
        <family val="2"/>
      </rPr>
      <t xml:space="preserve"> index_num </t>
    </r>
    <r>
      <rPr>
        <sz val="12"/>
        <color rgb="FF0070C0"/>
        <rFont val="新細明體"/>
        <family val="1"/>
        <charset val="136"/>
      </rPr>
      <t>的值，傳回其中的一天。</t>
    </r>
    <phoneticPr fontId="27" type="noConversion"/>
  </si>
  <si>
    <r>
      <t xml:space="preserve">Index_num </t>
    </r>
    <r>
      <rPr>
        <sz val="11"/>
        <color theme="1"/>
        <rFont val="新細明體"/>
        <family val="2"/>
        <scheme val="minor"/>
      </rPr>
      <t>是用以指定要選取第幾個引數值的數值。</t>
    </r>
    <phoneticPr fontId="27" type="noConversion"/>
  </si>
  <si>
    <t>Index_num 引數必須是個 1 到 254 的數字、公式或參照位址 (參照的儲存格有一個數字，數字範圍從 1 到 29)。</t>
    <phoneticPr fontId="27" type="noConversion"/>
  </si>
  <si>
    <r>
      <t xml:space="preserve">       </t>
    </r>
    <r>
      <rPr>
        <sz val="11"/>
        <color theme="1"/>
        <rFont val="新細明體"/>
        <family val="2"/>
        <scheme val="minor"/>
      </rPr>
      <t>如果</t>
    </r>
    <r>
      <rPr>
        <sz val="12"/>
        <rFont val="Tahoma"/>
        <family val="2"/>
      </rPr>
      <t xml:space="preserve"> index_num </t>
    </r>
    <r>
      <rPr>
        <sz val="11"/>
        <color theme="1"/>
        <rFont val="新細明體"/>
        <family val="2"/>
        <scheme val="minor"/>
      </rPr>
      <t>之值為</t>
    </r>
    <r>
      <rPr>
        <sz val="12"/>
        <rFont val="Tahoma"/>
        <family val="2"/>
      </rPr>
      <t xml:space="preserve"> 1</t>
    </r>
    <r>
      <rPr>
        <sz val="11"/>
        <color theme="1"/>
        <rFont val="新細明體"/>
        <family val="2"/>
        <scheme val="minor"/>
      </rPr>
      <t>，則</t>
    </r>
    <r>
      <rPr>
        <sz val="12"/>
        <rFont val="Tahoma"/>
        <family val="2"/>
      </rPr>
      <t xml:space="preserve"> CHOOSE </t>
    </r>
    <r>
      <rPr>
        <sz val="11"/>
        <color theme="1"/>
        <rFont val="新細明體"/>
        <family val="2"/>
        <scheme val="minor"/>
      </rPr>
      <t>函數會傳回</t>
    </r>
    <r>
      <rPr>
        <sz val="12"/>
        <rFont val="Tahoma"/>
        <family val="2"/>
      </rPr>
      <t xml:space="preserve"> value1</t>
    </r>
    <r>
      <rPr>
        <sz val="11"/>
        <color theme="1"/>
        <rFont val="新細明體"/>
        <family val="2"/>
        <scheme val="minor"/>
      </rPr>
      <t>；如果其值為</t>
    </r>
    <r>
      <rPr>
        <sz val="12"/>
        <rFont val="Tahoma"/>
        <family val="2"/>
      </rPr>
      <t xml:space="preserve"> 2</t>
    </r>
    <r>
      <rPr>
        <sz val="11"/>
        <color theme="1"/>
        <rFont val="新細明體"/>
        <family val="2"/>
        <scheme val="minor"/>
      </rPr>
      <t>，</t>
    </r>
    <r>
      <rPr>
        <sz val="12"/>
        <rFont val="Tahoma"/>
        <family val="2"/>
      </rPr>
      <t xml:space="preserve">CHOOSE </t>
    </r>
    <r>
      <rPr>
        <sz val="11"/>
        <color theme="1"/>
        <rFont val="新細明體"/>
        <family val="2"/>
        <scheme val="minor"/>
      </rPr>
      <t>函數會傳回</t>
    </r>
    <r>
      <rPr>
        <sz val="12"/>
        <rFont val="Tahoma"/>
        <family val="2"/>
      </rPr>
      <t xml:space="preserve"> value2</t>
    </r>
    <r>
      <rPr>
        <sz val="11"/>
        <color theme="1"/>
        <rFont val="新細明體"/>
        <family val="2"/>
        <scheme val="minor"/>
      </rPr>
      <t>；依此類推。</t>
    </r>
  </si>
  <si>
    <r>
      <t xml:space="preserve">       </t>
    </r>
    <r>
      <rPr>
        <sz val="11"/>
        <color theme="1"/>
        <rFont val="新細明體"/>
        <family val="2"/>
        <scheme val="minor"/>
      </rPr>
      <t>如果</t>
    </r>
    <r>
      <rPr>
        <sz val="12"/>
        <rFont val="Tahoma"/>
        <family val="2"/>
      </rPr>
      <t xml:space="preserve"> index_num </t>
    </r>
    <r>
      <rPr>
        <sz val="11"/>
        <color theme="1"/>
        <rFont val="新細明體"/>
        <family val="2"/>
        <scheme val="minor"/>
      </rPr>
      <t>小於</t>
    </r>
    <r>
      <rPr>
        <sz val="12"/>
        <rFont val="Tahoma"/>
        <family val="2"/>
      </rPr>
      <t xml:space="preserve"> 1 </t>
    </r>
    <r>
      <rPr>
        <sz val="11"/>
        <color theme="1"/>
        <rFont val="新細明體"/>
        <family val="2"/>
        <scheme val="minor"/>
      </rPr>
      <t>或大於引數清單中最後值的個數，則</t>
    </r>
    <r>
      <rPr>
        <sz val="12"/>
        <rFont val="Tahoma"/>
        <family val="2"/>
      </rPr>
      <t xml:space="preserve"> CHOOSE </t>
    </r>
    <r>
      <rPr>
        <sz val="11"/>
        <color theme="1"/>
        <rFont val="新細明體"/>
        <family val="2"/>
        <scheme val="minor"/>
      </rPr>
      <t>傳回錯誤值</t>
    </r>
    <r>
      <rPr>
        <sz val="12"/>
        <rFont val="Tahoma"/>
        <family val="2"/>
      </rPr>
      <t xml:space="preserve"> #VALUE!</t>
    </r>
    <r>
      <rPr>
        <sz val="11"/>
        <color theme="1"/>
        <rFont val="新細明體"/>
        <family val="2"/>
        <scheme val="minor"/>
      </rPr>
      <t>。</t>
    </r>
  </si>
  <si>
    <r>
      <t xml:space="preserve">       </t>
    </r>
    <r>
      <rPr>
        <sz val="11"/>
        <color theme="1"/>
        <rFont val="新細明體"/>
        <family val="2"/>
        <scheme val="minor"/>
      </rPr>
      <t>如果</t>
    </r>
    <r>
      <rPr>
        <sz val="12"/>
        <rFont val="Tahoma"/>
        <family val="2"/>
      </rPr>
      <t xml:space="preserve"> index_num </t>
    </r>
    <r>
      <rPr>
        <sz val="11"/>
        <color theme="1"/>
        <rFont val="新細明體"/>
        <family val="2"/>
        <scheme val="minor"/>
      </rPr>
      <t>不是整數，則在運算之前，會先將它無條件捨去到最接近的整數。</t>
    </r>
  </si>
  <si>
    <r>
      <t xml:space="preserve">-Value1, value2, _ </t>
    </r>
    <r>
      <rPr>
        <sz val="11"/>
        <color theme="1"/>
        <rFont val="新細明體"/>
        <family val="2"/>
        <scheme val="minor"/>
      </rPr>
      <t>是供</t>
    </r>
    <r>
      <rPr>
        <sz val="12"/>
        <rFont val="Tahoma"/>
        <family val="2"/>
      </rPr>
      <t xml:space="preserve"> CHOOSE </t>
    </r>
    <r>
      <rPr>
        <sz val="11"/>
        <color theme="1"/>
        <rFont val="新細明體"/>
        <family val="2"/>
        <scheme val="minor"/>
      </rPr>
      <t>函數根據</t>
    </r>
    <r>
      <rPr>
        <sz val="12"/>
        <rFont val="Tahoma"/>
        <family val="2"/>
      </rPr>
      <t xml:space="preserve"> index_num </t>
    </r>
    <r>
      <rPr>
        <sz val="11"/>
        <color theme="1"/>
        <rFont val="新細明體"/>
        <family val="2"/>
        <scheme val="minor"/>
      </rPr>
      <t>選取的</t>
    </r>
    <r>
      <rPr>
        <sz val="12"/>
        <rFont val="Tahoma"/>
        <family val="2"/>
      </rPr>
      <t xml:space="preserve"> 1 </t>
    </r>
    <r>
      <rPr>
        <sz val="11"/>
        <color theme="1"/>
        <rFont val="新細明體"/>
        <family val="2"/>
        <scheme val="minor"/>
      </rPr>
      <t>到</t>
    </r>
    <r>
      <rPr>
        <sz val="12"/>
        <rFont val="Tahoma"/>
        <family val="2"/>
      </rPr>
      <t xml:space="preserve"> 29 </t>
    </r>
    <r>
      <rPr>
        <sz val="11"/>
        <color theme="1"/>
        <rFont val="新細明體"/>
        <family val="2"/>
        <scheme val="minor"/>
      </rPr>
      <t>個引數。</t>
    </r>
    <phoneticPr fontId="27" type="noConversion"/>
  </si>
  <si>
    <t>這些引數可以是數字、儲存格位址、已定義的名稱、公式、函數或文字。</t>
  </si>
  <si>
    <r>
      <t>*       如果</t>
    </r>
    <r>
      <rPr>
        <sz val="12"/>
        <color indexed="12"/>
        <rFont val="新細明體"/>
        <family val="1"/>
        <charset val="136"/>
      </rPr>
      <t xml:space="preserve"> index_num 是個陣列(</t>
    </r>
    <r>
      <rPr>
        <sz val="11"/>
        <color theme="1"/>
        <rFont val="新細明體"/>
        <family val="2"/>
        <scheme val="minor"/>
      </rPr>
      <t xml:space="preserve">陣列：用來建立產生多個結果或運算一組以列及欄排列之引數的單一公式。陣列範圍共用一個公式；一個陣列常數是用作一個引數的一組常數。)，當執行 CHOOSE 時，會計算陣列中的每個數值。 </t>
    </r>
    <phoneticPr fontId="27" type="noConversion"/>
  </si>
  <si>
    <t xml:space="preserve">*       CHOOSE 函數所使用的數值引數也可以是參照位址。 </t>
  </si>
  <si>
    <t>例如，公式：</t>
  </si>
  <si>
    <t>=SUM(CHOOSE(2,A1:A10,B1:B10,C1:C10))</t>
    <phoneticPr fontId="27" type="noConversion"/>
  </si>
  <si>
    <t>計算結果：</t>
  </si>
  <si>
    <t>=SUM(B1:B10)</t>
    <phoneticPr fontId="27" type="noConversion"/>
  </si>
  <si>
    <t>傳回範圍儲存格 B1:B10 中數值的總和。</t>
  </si>
  <si>
    <t>首先計算 CHOOSE 函數，而結果指向 B1:B10，然後 SUM 函數再以 CHOOSE 函數的結果 B1:B10 當做引數來計算。</t>
  </si>
  <si>
    <t>=FILTER(CHOOSE({1,2,3,4,5},A2:A54,C2:C54,D2:D54,E2:E54,I2:I54),MONTH(到職日期)=X2,"本月無資料")</t>
    <phoneticPr fontId="14" type="noConversion"/>
  </si>
  <si>
    <t>C</t>
    <phoneticPr fontId="14" type="noConversion"/>
  </si>
  <si>
    <t>D</t>
    <phoneticPr fontId="14" type="noConversion"/>
  </si>
  <si>
    <t>E</t>
    <phoneticPr fontId="14" type="noConversion"/>
  </si>
  <si>
    <t>I</t>
    <phoneticPr fontId="14" type="noConversion"/>
  </si>
  <si>
    <t>A</t>
    <phoneticPr fontId="14" type="noConversion"/>
  </si>
  <si>
    <r>
      <t>CHOOSE</t>
    </r>
    <r>
      <rPr>
        <sz val="12"/>
        <color rgb="FF0070C0"/>
        <rFont val="Tahoma"/>
        <family val="2"/>
      </rPr>
      <t>(</t>
    </r>
    <r>
      <rPr>
        <b/>
        <sz val="12"/>
        <color rgb="FF0070C0"/>
        <rFont val="Tahoma"/>
        <family val="2"/>
      </rPr>
      <t>index_num</t>
    </r>
    <r>
      <rPr>
        <sz val="12"/>
        <color rgb="FF0070C0"/>
        <rFont val="Tahoma"/>
        <family val="2"/>
      </rPr>
      <t>,</t>
    </r>
    <r>
      <rPr>
        <b/>
        <sz val="12"/>
        <color rgb="FF0070C0"/>
        <rFont val="Tahoma"/>
        <family val="2"/>
      </rPr>
      <t>value1</t>
    </r>
    <r>
      <rPr>
        <sz val="12"/>
        <color rgb="FF0070C0"/>
        <rFont val="Tahoma"/>
        <family val="2"/>
      </rPr>
      <t>,value2,...)</t>
    </r>
    <phoneticPr fontId="14" type="noConversion"/>
  </si>
  <si>
    <t>index_num</t>
    <phoneticPr fontId="14" type="noConversion"/>
  </si>
  <si>
    <t>value1…對應欄位</t>
    <phoneticPr fontId="14" type="noConversion"/>
  </si>
  <si>
    <r>
      <rPr>
        <sz val="12"/>
        <color rgb="FF9C0006"/>
        <rFont val="Wingdings 2"/>
        <family val="1"/>
        <charset val="2"/>
      </rPr>
      <t>ê</t>
    </r>
    <r>
      <rPr>
        <sz val="12"/>
        <color rgb="FF9C0006"/>
        <rFont val="新細明體"/>
        <family val="2"/>
        <charset val="136"/>
        <scheme val="minor"/>
      </rPr>
      <t>篩選不連續的多欄資料</t>
    </r>
    <phoneticPr fontId="14" type="noConversion"/>
  </si>
  <si>
    <t>開始日期</t>
    <phoneticPr fontId="27" type="noConversion"/>
  </si>
  <si>
    <t>結束日期</t>
    <phoneticPr fontId="27" type="noConversion"/>
  </si>
  <si>
    <t>=FILTER(staff,(MONTH(到職日期)=V2)*(C2:C54=Y2),"本月無資料")</t>
    <phoneticPr fontId="14" type="noConversion"/>
  </si>
  <si>
    <t>ID2</t>
  </si>
  <si>
    <t>Code_dpt3</t>
  </si>
  <si>
    <t>E053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</si>
</sst>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&quot;月&quot;"/>
  </numFmts>
  <fonts count="78" x14ac:knownFonts="1">
    <font>
      <sz val="11"/>
      <color theme="1"/>
      <name val="新細明體"/>
      <family val="2"/>
      <scheme val="minor"/>
    </font>
    <font>
      <sz val="50.6"/>
      <color rgb="FF1E1E1E"/>
      <name val="Segoe UI Light"/>
      <family val="2"/>
    </font>
    <font>
      <sz val="17.600000000000001"/>
      <color rgb="FF1E1E1E"/>
      <name val="Segoe UI"/>
      <family val="2"/>
    </font>
    <font>
      <b/>
      <sz val="17.600000000000001"/>
      <color rgb="FF1E1E1E"/>
      <name val="Segoe UI"/>
      <family val="2"/>
    </font>
    <font>
      <sz val="15.4"/>
      <color rgb="FF1E1E1E"/>
      <name val="Segoe UI"/>
      <family val="2"/>
    </font>
    <font>
      <b/>
      <sz val="15.4"/>
      <color rgb="FF1E1E1E"/>
      <name val="Segoe UI"/>
      <family val="2"/>
    </font>
    <font>
      <sz val="6"/>
      <color rgb="FF1E1E1E"/>
      <name val="Segoe UI"/>
      <family val="2"/>
    </font>
    <font>
      <b/>
      <sz val="11"/>
      <color rgb="FF1E1E1E"/>
      <name val="Segoe UI"/>
      <family val="2"/>
    </font>
    <font>
      <b/>
      <sz val="6"/>
      <color rgb="FF1E1E1E"/>
      <name val="Segoe UI"/>
      <family val="2"/>
    </font>
    <font>
      <sz val="6"/>
      <color rgb="FF006CAC"/>
      <name val="Segoe UI"/>
      <family val="2"/>
    </font>
    <font>
      <sz val="33"/>
      <color rgb="FF1E1E1E"/>
      <name val="Segoe UI Light"/>
      <family val="2"/>
    </font>
    <font>
      <sz val="17.600000000000001"/>
      <color rgb="FF006CAC"/>
      <name val="Segoe UI"/>
      <family val="2"/>
    </font>
    <font>
      <u/>
      <sz val="11"/>
      <color theme="10"/>
      <name val="新細明體"/>
      <family val="2"/>
      <scheme val="minor"/>
    </font>
    <font>
      <u/>
      <sz val="11"/>
      <color theme="1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rgb="FF1E1E1E"/>
      <name val="Segoe UI"/>
      <family val="2"/>
    </font>
    <font>
      <b/>
      <sz val="16"/>
      <color rgb="FFFF0000"/>
      <name val="Segoe UI"/>
      <family val="2"/>
    </font>
    <font>
      <sz val="16"/>
      <color rgb="FFFF0000"/>
      <name val="Segoe UI"/>
      <family val="2"/>
    </font>
    <font>
      <b/>
      <sz val="17.600000000000001"/>
      <color rgb="FFFF0000"/>
      <name val="Segoe UI"/>
      <family val="2"/>
    </font>
    <font>
      <sz val="17.600000000000001"/>
      <color rgb="FFFF0000"/>
      <name val="Segoe UI"/>
      <family val="2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3.5"/>
      <color theme="1"/>
      <name val="Times New Roman"/>
      <family val="1"/>
    </font>
    <font>
      <sz val="13.5"/>
      <color theme="1"/>
      <name val="新細明體"/>
      <family val="1"/>
      <charset val="136"/>
      <scheme val="minor"/>
    </font>
    <font>
      <sz val="13.5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.5"/>
      <name val="標楷體"/>
      <family val="4"/>
      <charset val="136"/>
    </font>
    <font>
      <sz val="12"/>
      <name val="Times New Roman"/>
      <family val="1"/>
    </font>
    <font>
      <b/>
      <sz val="10.5"/>
      <color rgb="FF0000FF"/>
      <name val="標楷體"/>
      <family val="4"/>
      <charset val="136"/>
    </font>
    <font>
      <b/>
      <sz val="10.5"/>
      <color rgb="FF0000FF"/>
      <name val="Times New Roman"/>
      <family val="1"/>
    </font>
    <font>
      <b/>
      <sz val="10.5"/>
      <color rgb="FF0000FF"/>
      <name val="細明體"/>
      <family val="3"/>
      <charset val="136"/>
    </font>
    <font>
      <sz val="10"/>
      <name val="標楷體"/>
      <family val="4"/>
      <charset val="136"/>
    </font>
    <font>
      <sz val="10.5"/>
      <color rgb="FF000000"/>
      <name val="標楷體"/>
      <family val="4"/>
      <charset val="136"/>
    </font>
    <font>
      <sz val="10.5"/>
      <color rgb="FFFF0000"/>
      <name val="標楷體"/>
      <family val="4"/>
      <charset val="136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0.5"/>
      <color rgb="FF7030A0"/>
      <name val="標楷體"/>
      <family val="4"/>
      <charset val="136"/>
    </font>
    <font>
      <sz val="9"/>
      <name val="標楷體"/>
      <family val="4"/>
      <charset val="136"/>
    </font>
    <font>
      <u/>
      <sz val="12"/>
      <color theme="10"/>
      <name val="標楷體"/>
      <family val="4"/>
      <charset val="136"/>
    </font>
    <font>
      <b/>
      <sz val="10.5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sz val="10.5"/>
      <color theme="8"/>
      <name val="標楷體"/>
      <family val="4"/>
      <charset val="136"/>
    </font>
    <font>
      <sz val="12"/>
      <name val="標楷體"/>
      <family val="4"/>
      <charset val="136"/>
    </font>
    <font>
      <b/>
      <u/>
      <sz val="10.5"/>
      <color rgb="FFFF0000"/>
      <name val="標楷體"/>
      <family val="4"/>
      <charset val="136"/>
    </font>
    <font>
      <b/>
      <sz val="10.5"/>
      <name val="標楷體"/>
      <family val="4"/>
      <charset val="136"/>
    </font>
    <font>
      <b/>
      <sz val="11"/>
      <color rgb="FFFFFFFF"/>
      <name val="Corbel"/>
      <family val="2"/>
    </font>
    <font>
      <b/>
      <sz val="12"/>
      <color rgb="FF1E1E1E"/>
      <name val="Segoe UI"/>
      <family val="2"/>
    </font>
    <font>
      <b/>
      <sz val="12"/>
      <color rgb="FFFF0000"/>
      <name val="Segoe UI"/>
      <family val="2"/>
    </font>
    <font>
      <b/>
      <sz val="12"/>
      <color rgb="FFFF0000"/>
      <name val="新細明體"/>
      <family val="2"/>
      <charset val="136"/>
    </font>
    <font>
      <b/>
      <sz val="12"/>
      <color rgb="FFFA7D00"/>
      <name val="新細明體"/>
      <family val="2"/>
      <charset val="136"/>
      <scheme val="minor"/>
    </font>
    <font>
      <b/>
      <sz val="14"/>
      <color rgb="FFFA7D0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1"/>
      <color rgb="FFFF0000"/>
      <name val="新細明體"/>
      <family val="2"/>
      <scheme val="minor"/>
    </font>
    <font>
      <sz val="10.5"/>
      <color rgb="FF0000FF"/>
      <name val="標楷體"/>
      <family val="4"/>
      <charset val="136"/>
    </font>
    <font>
      <b/>
      <sz val="12"/>
      <name val="新細明體"/>
      <family val="1"/>
      <charset val="136"/>
    </font>
    <font>
      <b/>
      <sz val="10.5"/>
      <name val="Times New Roman"/>
      <family val="1"/>
    </font>
    <font>
      <b/>
      <sz val="11"/>
      <color theme="0"/>
      <name val="新細明體"/>
      <family val="2"/>
      <scheme val="minor"/>
    </font>
    <font>
      <b/>
      <sz val="12"/>
      <name val="Times New Roman"/>
      <family val="1"/>
    </font>
    <font>
      <sz val="11"/>
      <name val="新細明體"/>
      <family val="2"/>
      <scheme val="minor"/>
    </font>
    <font>
      <b/>
      <sz val="11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0"/>
      <name val="新細明體"/>
      <family val="2"/>
      <scheme val="minor"/>
    </font>
    <font>
      <sz val="12"/>
      <color rgb="FFFF0000"/>
      <name val="新細明體"/>
      <family val="2"/>
      <scheme val="minor"/>
    </font>
    <font>
      <b/>
      <sz val="12"/>
      <name val="Tahoma"/>
      <family val="2"/>
    </font>
    <font>
      <sz val="12"/>
      <color indexed="12"/>
      <name val="新細明體"/>
      <family val="1"/>
      <charset val="136"/>
    </font>
    <font>
      <sz val="12"/>
      <name val="Tahoma"/>
      <family val="2"/>
    </font>
    <font>
      <b/>
      <sz val="12"/>
      <name val="Arial"/>
      <family val="2"/>
    </font>
    <font>
      <sz val="12"/>
      <color rgb="FF0070C0"/>
      <name val="新細明體"/>
      <family val="1"/>
      <charset val="136"/>
    </font>
    <font>
      <sz val="12"/>
      <color rgb="FF0070C0"/>
      <name val="Tahoma"/>
      <family val="2"/>
    </font>
    <font>
      <b/>
      <sz val="12"/>
      <color indexed="12"/>
      <name val="新細明體"/>
      <family val="1"/>
      <charset val="136"/>
    </font>
    <font>
      <b/>
      <sz val="12"/>
      <color rgb="FF0070C0"/>
      <name val="Tahoma"/>
      <family val="2"/>
    </font>
    <font>
      <sz val="7"/>
      <name val="Times New Roman"/>
      <family val="1"/>
    </font>
    <font>
      <sz val="12"/>
      <color rgb="FF9C0006"/>
      <name val="Wingdings 2"/>
      <family val="1"/>
      <charset val="2"/>
    </font>
    <font>
      <sz val="12"/>
      <color rgb="FF9C0006"/>
      <name val="新細明體"/>
      <family val="1"/>
      <charset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494B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98A7B8"/>
      </left>
      <right style="thin">
        <color rgb="FF98A7B8"/>
      </right>
      <top style="thin">
        <color rgb="FF98A7B8"/>
      </top>
      <bottom style="thin">
        <color rgb="FF98A7B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51" fillId="23" borderId="6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3" fillId="26" borderId="7" applyNumberFormat="0" applyFont="0" applyAlignment="0" applyProtection="0">
      <alignment vertical="center"/>
    </xf>
    <xf numFmtId="0" fontId="26" fillId="0" borderId="0"/>
  </cellStyleXfs>
  <cellXfs count="28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0" borderId="0" xfId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4" borderId="1" xfId="0" applyFont="1" applyFill="1" applyBorder="1"/>
    <xf numFmtId="0" fontId="21" fillId="5" borderId="1" xfId="0" applyFont="1" applyFill="1" applyBorder="1"/>
    <xf numFmtId="0" fontId="21" fillId="6" borderId="1" xfId="0" applyFont="1" applyFill="1" applyBorder="1"/>
    <xf numFmtId="0" fontId="21" fillId="7" borderId="1" xfId="0" applyFont="1" applyFill="1" applyBorder="1"/>
    <xf numFmtId="0" fontId="0" fillId="0" borderId="0" xfId="0"/>
    <xf numFmtId="0" fontId="21" fillId="8" borderId="1" xfId="0" applyFont="1" applyFill="1" applyBorder="1"/>
    <xf numFmtId="0" fontId="0" fillId="9" borderId="0" xfId="0" applyFill="1"/>
    <xf numFmtId="0" fontId="0" fillId="10" borderId="0" xfId="0" applyFill="1"/>
    <xf numFmtId="0" fontId="0" fillId="10" borderId="0" xfId="0" quotePrefix="1" applyFill="1"/>
    <xf numFmtId="0" fontId="23" fillId="0" borderId="0" xfId="0" applyFont="1"/>
    <xf numFmtId="0" fontId="24" fillId="0" borderId="0" xfId="0" applyFont="1"/>
    <xf numFmtId="0" fontId="23" fillId="0" borderId="0" xfId="0" quotePrefix="1" applyFont="1"/>
    <xf numFmtId="0" fontId="0" fillId="0" borderId="0" xfId="0" quotePrefix="1"/>
    <xf numFmtId="0" fontId="0" fillId="11" borderId="2" xfId="0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/>
    </xf>
    <xf numFmtId="176" fontId="0" fillId="13" borderId="2" xfId="0" applyNumberForma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12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176" fontId="0" fillId="0" borderId="2" xfId="0" applyNumberFormat="1" applyBorder="1"/>
    <xf numFmtId="0" fontId="32" fillId="0" borderId="2" xfId="0" applyFont="1" applyBorder="1" applyAlignment="1">
      <alignment horizontal="center" vertical="center" wrapText="1"/>
    </xf>
    <xf numFmtId="0" fontId="0" fillId="0" borderId="2" xfId="0" quotePrefix="1" applyBorder="1"/>
    <xf numFmtId="0" fontId="0" fillId="0" borderId="0" xfId="0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quotePrefix="1"/>
    <xf numFmtId="0" fontId="0" fillId="9" borderId="0" xfId="0" applyFill="1"/>
    <xf numFmtId="0" fontId="2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0" fontId="28" fillId="0" borderId="2" xfId="0" applyFont="1" applyBorder="1"/>
    <xf numFmtId="0" fontId="3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/>
    <xf numFmtId="0" fontId="21" fillId="14" borderId="0" xfId="0" applyFont="1" applyFill="1" applyAlignment="1"/>
    <xf numFmtId="0" fontId="36" fillId="0" borderId="2" xfId="0" applyFont="1" applyBorder="1"/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/>
    </xf>
    <xf numFmtId="0" fontId="39" fillId="0" borderId="2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40" fillId="0" borderId="2" xfId="0" applyFont="1" applyBorder="1"/>
    <xf numFmtId="0" fontId="3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0" fillId="0" borderId="2" xfId="0" applyFont="1" applyBorder="1"/>
    <xf numFmtId="0" fontId="35" fillId="15" borderId="2" xfId="0" applyFont="1" applyFill="1" applyBorder="1" applyAlignment="1">
      <alignment horizontal="center" vertical="center" wrapText="1"/>
    </xf>
    <xf numFmtId="0" fontId="42" fillId="0" borderId="2" xfId="0" applyFont="1" applyBorder="1"/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36" fillId="0" borderId="2" xfId="0" applyFont="1" applyBorder="1"/>
    <xf numFmtId="0" fontId="0" fillId="0" borderId="2" xfId="0" applyBorder="1"/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justify" vertical="center" wrapText="1"/>
    </xf>
    <xf numFmtId="0" fontId="44" fillId="0" borderId="2" xfId="0" applyFont="1" applyBorder="1"/>
    <xf numFmtId="0" fontId="34" fillId="0" borderId="2" xfId="0" applyFont="1" applyBorder="1" applyAlignment="1">
      <alignment horizontal="justify" vertical="center" wrapText="1"/>
    </xf>
    <xf numFmtId="0" fontId="34" fillId="0" borderId="2" xfId="0" applyFont="1" applyBorder="1"/>
    <xf numFmtId="0" fontId="45" fillId="0" borderId="2" xfId="0" applyFont="1" applyBorder="1" applyAlignment="1">
      <alignment horizontal="center" vertical="center" wrapText="1"/>
    </xf>
    <xf numFmtId="0" fontId="35" fillId="0" borderId="2" xfId="0" applyFont="1" applyBorder="1"/>
    <xf numFmtId="0" fontId="46" fillId="0" borderId="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16" borderId="2" xfId="0" applyFill="1" applyBorder="1" applyAlignment="1">
      <alignment horizontal="center" vertical="center"/>
    </xf>
    <xf numFmtId="0" fontId="47" fillId="17" borderId="3" xfId="0" applyFont="1" applyFill="1" applyBorder="1" applyAlignment="1">
      <alignment vertical="top" wrapText="1" readingOrder="1"/>
    </xf>
    <xf numFmtId="0" fontId="0" fillId="0" borderId="0" xfId="0" applyAlignment="1">
      <alignment vertical="center" wrapText="1"/>
    </xf>
    <xf numFmtId="0" fontId="47" fillId="17" borderId="3" xfId="0" applyFont="1" applyFill="1" applyBorder="1" applyAlignment="1">
      <alignment vertical="top" readingOrder="1"/>
    </xf>
    <xf numFmtId="0" fontId="28" fillId="7" borderId="0" xfId="0" applyFont="1" applyFill="1" applyAlignment="1">
      <alignment horizontal="center" vertical="center" wrapText="1"/>
    </xf>
    <xf numFmtId="0" fontId="0" fillId="7" borderId="0" xfId="0" applyFill="1"/>
    <xf numFmtId="0" fontId="30" fillId="18" borderId="0" xfId="0" applyFont="1" applyFill="1" applyAlignment="1">
      <alignment vertical="center" wrapText="1"/>
    </xf>
    <xf numFmtId="14" fontId="0" fillId="19" borderId="0" xfId="0" applyNumberFormat="1" applyFill="1"/>
    <xf numFmtId="0" fontId="0" fillId="19" borderId="0" xfId="0" applyFill="1"/>
    <xf numFmtId="176" fontId="0" fillId="19" borderId="2" xfId="0" applyNumberFormat="1" applyFill="1" applyBorder="1"/>
    <xf numFmtId="0" fontId="0" fillId="11" borderId="0" xfId="0" applyFill="1" applyAlignment="1">
      <alignment horizontal="center" vertical="center"/>
    </xf>
    <xf numFmtId="0" fontId="46" fillId="0" borderId="4" xfId="0" applyFont="1" applyBorder="1" applyAlignment="1">
      <alignment vertical="center" wrapText="1"/>
    </xf>
    <xf numFmtId="0" fontId="0" fillId="0" borderId="0" xfId="0" quotePrefix="1"/>
    <xf numFmtId="0" fontId="0" fillId="10" borderId="0" xfId="0" applyFill="1"/>
    <xf numFmtId="0" fontId="28" fillId="20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0" fillId="21" borderId="0" xfId="0" applyFill="1"/>
    <xf numFmtId="0" fontId="0" fillId="0" borderId="0" xfId="0" quotePrefix="1" applyAlignment="1">
      <alignment wrapText="1"/>
    </xf>
    <xf numFmtId="0" fontId="49" fillId="0" borderId="0" xfId="0" applyFont="1" applyAlignment="1">
      <alignment vertical="center" wrapText="1"/>
    </xf>
    <xf numFmtId="14" fontId="0" fillId="0" borderId="0" xfId="0" applyNumberFormat="1"/>
    <xf numFmtId="0" fontId="0" fillId="22" borderId="0" xfId="0" applyFill="1"/>
    <xf numFmtId="0" fontId="0" fillId="5" borderId="0" xfId="0" applyFill="1"/>
    <xf numFmtId="0" fontId="49" fillId="0" borderId="0" xfId="0" quotePrefix="1" applyFont="1" applyAlignment="1">
      <alignment vertical="center"/>
    </xf>
    <xf numFmtId="0" fontId="44" fillId="12" borderId="2" xfId="0" applyFont="1" applyFill="1" applyBorder="1" applyAlignment="1">
      <alignment horizontal="center" vertical="center" wrapText="1"/>
    </xf>
    <xf numFmtId="0" fontId="20" fillId="0" borderId="0" xfId="0" applyFont="1"/>
    <xf numFmtId="0" fontId="52" fillId="23" borderId="6" xfId="2" applyFont="1">
      <alignment vertical="center"/>
    </xf>
    <xf numFmtId="0" fontId="56" fillId="0" borderId="0" xfId="0" quotePrefix="1" applyFont="1"/>
    <xf numFmtId="0" fontId="0" fillId="27" borderId="0" xfId="0" applyFill="1"/>
    <xf numFmtId="177" fontId="0" fillId="22" borderId="0" xfId="0" applyNumberFormat="1" applyFill="1"/>
    <xf numFmtId="0" fontId="57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6" fillId="0" borderId="5" xfId="0" applyFont="1" applyBorder="1"/>
    <xf numFmtId="0" fontId="26" fillId="0" borderId="2" xfId="0" applyFont="1" applyBorder="1"/>
    <xf numFmtId="0" fontId="26" fillId="0" borderId="0" xfId="0" applyFont="1"/>
    <xf numFmtId="0" fontId="46" fillId="0" borderId="2" xfId="0" applyFont="1" applyBorder="1" applyAlignment="1">
      <alignment horizontal="justify" vertical="center" wrapText="1"/>
    </xf>
    <xf numFmtId="0" fontId="59" fillId="0" borderId="2" xfId="0" applyFont="1" applyBorder="1" applyAlignment="1">
      <alignment horizontal="left" vertical="center" wrapText="1"/>
    </xf>
    <xf numFmtId="0" fontId="52" fillId="23" borderId="6" xfId="2" applyFont="1" applyAlignment="1">
      <alignment vertical="center" wrapText="1"/>
    </xf>
    <xf numFmtId="0" fontId="44" fillId="28" borderId="2" xfId="0" applyFont="1" applyFill="1" applyBorder="1" applyAlignment="1">
      <alignment horizontal="center" vertical="center" wrapText="1"/>
    </xf>
    <xf numFmtId="0" fontId="0" fillId="28" borderId="0" xfId="0" applyFill="1"/>
    <xf numFmtId="0" fontId="55" fillId="25" borderId="0" xfId="4">
      <alignment vertical="center"/>
    </xf>
    <xf numFmtId="0" fontId="0" fillId="0" borderId="9" xfId="0" quotePrefix="1" applyBorder="1"/>
    <xf numFmtId="0" fontId="0" fillId="11" borderId="10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justify" vertical="center" wrapText="1"/>
    </xf>
    <xf numFmtId="0" fontId="0" fillId="0" borderId="4" xfId="0" applyBorder="1"/>
    <xf numFmtId="176" fontId="0" fillId="0" borderId="4" xfId="0" applyNumberFormat="1" applyBorder="1"/>
    <xf numFmtId="0" fontId="0" fillId="0" borderId="13" xfId="0" quotePrefix="1" applyBorder="1"/>
    <xf numFmtId="176" fontId="62" fillId="13" borderId="5" xfId="0" applyNumberFormat="1" applyFont="1" applyFill="1" applyBorder="1" applyAlignment="1">
      <alignment horizontal="center" vertical="center"/>
    </xf>
    <xf numFmtId="0" fontId="0" fillId="0" borderId="0" xfId="0" quotePrefix="1" applyNumberFormat="1" applyAlignment="1">
      <alignment wrapText="1"/>
    </xf>
    <xf numFmtId="0" fontId="0" fillId="0" borderId="2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5" borderId="0" xfId="0" applyNumberFormat="1" applyFill="1" applyAlignment="1">
      <alignment wrapText="1"/>
    </xf>
    <xf numFmtId="177" fontId="0" fillId="21" borderId="0" xfId="0" applyNumberFormat="1" applyFill="1"/>
    <xf numFmtId="0" fontId="60" fillId="11" borderId="13" xfId="0" applyFont="1" applyFill="1" applyBorder="1" applyAlignment="1">
      <alignment horizontal="center" vertical="center"/>
    </xf>
    <xf numFmtId="0" fontId="46" fillId="12" borderId="13" xfId="0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/>
    </xf>
    <xf numFmtId="176" fontId="63" fillId="13" borderId="13" xfId="0" applyNumberFormat="1" applyFont="1" applyFill="1" applyBorder="1" applyAlignment="1">
      <alignment horizontal="center" vertical="center"/>
    </xf>
    <xf numFmtId="0" fontId="60" fillId="5" borderId="13" xfId="0" applyNumberFormat="1" applyFont="1" applyFill="1" applyBorder="1" applyAlignment="1">
      <alignment wrapText="1"/>
    </xf>
    <xf numFmtId="0" fontId="61" fillId="11" borderId="4" xfId="0" applyFont="1" applyFill="1" applyBorder="1" applyAlignment="1">
      <alignment horizontal="center" vertical="center" wrapText="1"/>
    </xf>
    <xf numFmtId="0" fontId="0" fillId="29" borderId="13" xfId="0" applyFont="1" applyFill="1" applyBorder="1" applyAlignment="1">
      <alignment horizontal="center" vertical="center"/>
    </xf>
    <xf numFmtId="0" fontId="30" fillId="29" borderId="13" xfId="0" applyFont="1" applyFill="1" applyBorder="1" applyAlignment="1">
      <alignment vertical="center" wrapText="1"/>
    </xf>
    <xf numFmtId="0" fontId="30" fillId="29" borderId="13" xfId="0" applyFont="1" applyFill="1" applyBorder="1" applyAlignment="1">
      <alignment horizontal="center" vertical="center" wrapText="1"/>
    </xf>
    <xf numFmtId="0" fontId="30" fillId="29" borderId="13" xfId="0" applyFont="1" applyFill="1" applyBorder="1" applyAlignment="1">
      <alignment horizontal="justify" vertical="center" wrapText="1"/>
    </xf>
    <xf numFmtId="0" fontId="31" fillId="29" borderId="13" xfId="0" applyFont="1" applyFill="1" applyBorder="1" applyAlignment="1">
      <alignment horizontal="center" vertical="center" wrapText="1"/>
    </xf>
    <xf numFmtId="0" fontId="31" fillId="29" borderId="13" xfId="0" applyFont="1" applyFill="1" applyBorder="1"/>
    <xf numFmtId="176" fontId="0" fillId="29" borderId="13" xfId="0" applyNumberFormat="1" applyFont="1" applyFill="1" applyBorder="1"/>
    <xf numFmtId="0" fontId="0" fillId="29" borderId="13" xfId="0" applyNumberFormat="1" applyFont="1" applyFill="1" applyBorder="1" applyAlignment="1">
      <alignment wrapText="1"/>
    </xf>
    <xf numFmtId="0" fontId="32" fillId="29" borderId="13" xfId="0" applyFont="1" applyFill="1" applyBorder="1" applyAlignment="1">
      <alignment horizontal="center" vertical="center" wrapText="1"/>
    </xf>
    <xf numFmtId="0" fontId="0" fillId="29" borderId="4" xfId="0" applyFont="1" applyFill="1" applyBorder="1"/>
    <xf numFmtId="0" fontId="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justify" vertical="center" wrapText="1"/>
    </xf>
    <xf numFmtId="0" fontId="28" fillId="0" borderId="13" xfId="0" applyFont="1" applyBorder="1"/>
    <xf numFmtId="176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4" xfId="0" applyFont="1" applyBorder="1"/>
    <xf numFmtId="0" fontId="34" fillId="29" borderId="13" xfId="0" applyFont="1" applyFill="1" applyBorder="1" applyAlignment="1">
      <alignment horizontal="center" vertical="center" wrapText="1"/>
    </xf>
    <xf numFmtId="0" fontId="28" fillId="29" borderId="13" xfId="0" applyFont="1" applyFill="1" applyBorder="1" applyAlignment="1">
      <alignment horizontal="justify" vertical="center" wrapText="1"/>
    </xf>
    <xf numFmtId="0" fontId="28" fillId="29" borderId="13" xfId="0" applyFont="1" applyFill="1" applyBorder="1"/>
    <xf numFmtId="0" fontId="28" fillId="29" borderId="1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justify" vertical="center" wrapText="1"/>
    </xf>
    <xf numFmtId="0" fontId="35" fillId="29" borderId="13" xfId="0" applyFont="1" applyFill="1" applyBorder="1" applyAlignment="1">
      <alignment horizontal="center" vertical="center"/>
    </xf>
    <xf numFmtId="0" fontId="36" fillId="29" borderId="13" xfId="0" applyFont="1" applyFill="1" applyBorder="1" applyAlignment="1">
      <alignment horizontal="center" vertical="center" wrapText="1"/>
    </xf>
    <xf numFmtId="0" fontId="37" fillId="29" borderId="13" xfId="0" applyFont="1" applyFill="1" applyBorder="1"/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/>
    <xf numFmtId="0" fontId="31" fillId="29" borderId="13" xfId="0" applyFont="1" applyFill="1" applyBorder="1" applyAlignment="1">
      <alignment horizontal="left" vertical="center" wrapText="1"/>
    </xf>
    <xf numFmtId="0" fontId="31" fillId="29" borderId="13" xfId="0" applyFont="1" applyFill="1" applyBorder="1" applyAlignment="1">
      <alignment horizontal="left" vertical="center"/>
    </xf>
    <xf numFmtId="0" fontId="38" fillId="29" borderId="1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/>
    </xf>
    <xf numFmtId="0" fontId="39" fillId="29" borderId="13" xfId="0" applyFont="1" applyFill="1" applyBorder="1" applyAlignment="1">
      <alignment horizontal="justify" vertical="center" wrapText="1"/>
    </xf>
    <xf numFmtId="0" fontId="39" fillId="0" borderId="13" xfId="0" applyFont="1" applyBorder="1" applyAlignment="1">
      <alignment horizontal="justify" vertical="center" wrapText="1"/>
    </xf>
    <xf numFmtId="0" fontId="35" fillId="29" borderId="13" xfId="0" applyFont="1" applyFill="1" applyBorder="1" applyAlignment="1">
      <alignment horizontal="center" vertical="center" wrapText="1"/>
    </xf>
    <xf numFmtId="0" fontId="35" fillId="29" borderId="13" xfId="0" applyFont="1" applyFill="1" applyBorder="1" applyAlignment="1">
      <alignment horizontal="left" vertical="center" wrapText="1"/>
    </xf>
    <xf numFmtId="0" fontId="40" fillId="0" borderId="13" xfId="0" applyFont="1" applyBorder="1"/>
    <xf numFmtId="0" fontId="37" fillId="29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29" borderId="13" xfId="0" applyFont="1" applyFill="1" applyBorder="1" applyAlignment="1">
      <alignment horizontal="justify" vertical="center" wrapText="1"/>
    </xf>
    <xf numFmtId="0" fontId="35" fillId="29" borderId="13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41" fillId="29" borderId="13" xfId="0" applyFont="1" applyFill="1" applyBorder="1" applyAlignment="1">
      <alignment horizontal="center" vertical="center" wrapText="1"/>
    </xf>
    <xf numFmtId="0" fontId="30" fillId="29" borderId="13" xfId="0" applyFont="1" applyFill="1" applyBorder="1"/>
    <xf numFmtId="0" fontId="35" fillId="15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center" vertical="center" wrapText="1"/>
    </xf>
    <xf numFmtId="0" fontId="42" fillId="0" borderId="13" xfId="0" applyFont="1" applyBorder="1"/>
    <xf numFmtId="0" fontId="36" fillId="29" borderId="13" xfId="0" applyFont="1" applyFill="1" applyBorder="1"/>
    <xf numFmtId="0" fontId="0" fillId="29" borderId="13" xfId="0" applyFont="1" applyFill="1" applyBorder="1"/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justify" vertical="center" wrapText="1"/>
    </xf>
    <xf numFmtId="0" fontId="44" fillId="0" borderId="13" xfId="0" applyFont="1" applyBorder="1"/>
    <xf numFmtId="0" fontId="44" fillId="29" borderId="13" xfId="0" applyFont="1" applyFill="1" applyBorder="1"/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justify" vertical="center" wrapText="1"/>
    </xf>
    <xf numFmtId="0" fontId="34" fillId="0" borderId="13" xfId="0" applyFont="1" applyBorder="1"/>
    <xf numFmtId="0" fontId="34" fillId="29" borderId="13" xfId="0" applyFont="1" applyFill="1" applyBorder="1" applyAlignment="1">
      <alignment horizontal="justify" vertical="center" wrapText="1"/>
    </xf>
    <xf numFmtId="0" fontId="45" fillId="0" borderId="13" xfId="0" applyFont="1" applyBorder="1" applyAlignment="1">
      <alignment horizontal="center" vertical="center" wrapText="1"/>
    </xf>
    <xf numFmtId="0" fontId="35" fillId="0" borderId="13" xfId="0" applyFont="1" applyBorder="1"/>
    <xf numFmtId="0" fontId="35" fillId="0" borderId="13" xfId="0" applyFont="1" applyBorder="1" applyAlignment="1">
      <alignment horizontal="left" vertical="center" wrapText="1"/>
    </xf>
    <xf numFmtId="0" fontId="46" fillId="0" borderId="13" xfId="0" applyFont="1" applyBorder="1" applyAlignment="1">
      <alignment vertical="center" wrapText="1"/>
    </xf>
    <xf numFmtId="0" fontId="46" fillId="29" borderId="13" xfId="0" applyFont="1" applyFill="1" applyBorder="1" applyAlignment="1">
      <alignment vertical="center" wrapText="1"/>
    </xf>
    <xf numFmtId="0" fontId="46" fillId="29" borderId="13" xfId="0" applyFont="1" applyFill="1" applyBorder="1" applyAlignment="1">
      <alignment horizontal="center" vertical="center" wrapText="1"/>
    </xf>
    <xf numFmtId="0" fontId="0" fillId="29" borderId="9" xfId="0" applyFont="1" applyFill="1" applyBorder="1" applyAlignment="1">
      <alignment horizontal="center" vertical="center"/>
    </xf>
    <xf numFmtId="0" fontId="46" fillId="29" borderId="9" xfId="0" applyFont="1" applyFill="1" applyBorder="1" applyAlignment="1">
      <alignment vertical="center" wrapText="1"/>
    </xf>
    <xf numFmtId="0" fontId="28" fillId="29" borderId="9" xfId="0" applyFont="1" applyFill="1" applyBorder="1" applyAlignment="1">
      <alignment horizontal="center" vertical="center" wrapText="1"/>
    </xf>
    <xf numFmtId="0" fontId="28" fillId="29" borderId="9" xfId="0" applyFont="1" applyFill="1" applyBorder="1" applyAlignment="1">
      <alignment horizontal="justify" vertical="center" wrapText="1"/>
    </xf>
    <xf numFmtId="0" fontId="0" fillId="29" borderId="9" xfId="0" applyFont="1" applyFill="1" applyBorder="1"/>
    <xf numFmtId="176" fontId="0" fillId="29" borderId="9" xfId="0" applyNumberFormat="1" applyFont="1" applyFill="1" applyBorder="1"/>
    <xf numFmtId="0" fontId="0" fillId="29" borderId="9" xfId="0" applyNumberFormat="1" applyFont="1" applyFill="1" applyBorder="1" applyAlignment="1">
      <alignment wrapText="1"/>
    </xf>
    <xf numFmtId="0" fontId="0" fillId="29" borderId="2" xfId="0" applyFont="1" applyFill="1" applyBorder="1"/>
    <xf numFmtId="0" fontId="0" fillId="26" borderId="7" xfId="5" applyFont="1" applyAlignment="1"/>
    <xf numFmtId="0" fontId="56" fillId="26" borderId="7" xfId="5" applyFont="1" applyAlignment="1"/>
    <xf numFmtId="0" fontId="64" fillId="0" borderId="0" xfId="0" quotePrefix="1" applyFont="1" applyAlignment="1">
      <alignment wrapText="1"/>
    </xf>
    <xf numFmtId="0" fontId="65" fillId="0" borderId="0" xfId="0" quotePrefix="1" applyFont="1" applyAlignment="1">
      <alignment vertical="top" wrapText="1"/>
    </xf>
    <xf numFmtId="0" fontId="28" fillId="5" borderId="2" xfId="0" applyFont="1" applyFill="1" applyBorder="1" applyAlignment="1">
      <alignment horizontal="center" vertical="center" wrapText="1"/>
    </xf>
    <xf numFmtId="0" fontId="66" fillId="0" borderId="0" xfId="0" quotePrefix="1" applyFont="1"/>
    <xf numFmtId="0" fontId="0" fillId="5" borderId="0" xfId="0" applyFill="1" applyAlignment="1">
      <alignment wrapText="1"/>
    </xf>
    <xf numFmtId="177" fontId="0" fillId="10" borderId="0" xfId="0" applyNumberFormat="1" applyFill="1"/>
    <xf numFmtId="0" fontId="0" fillId="27" borderId="0" xfId="0" quotePrefix="1" applyFill="1" applyAlignment="1">
      <alignment wrapText="1"/>
    </xf>
    <xf numFmtId="0" fontId="67" fillId="11" borderId="0" xfId="6" applyFont="1" applyFill="1" applyAlignment="1">
      <alignment horizontal="center"/>
    </xf>
    <xf numFmtId="0" fontId="26" fillId="0" borderId="0" xfId="6"/>
    <xf numFmtId="0" fontId="68" fillId="0" borderId="0" xfId="6" applyFont="1"/>
    <xf numFmtId="0" fontId="26" fillId="11" borderId="0" xfId="6" applyFill="1"/>
    <xf numFmtId="0" fontId="58" fillId="11" borderId="0" xfId="6" applyFont="1" applyFill="1" applyAlignment="1">
      <alignment horizontal="center"/>
    </xf>
    <xf numFmtId="0" fontId="58" fillId="11" borderId="0" xfId="6" applyFont="1" applyFill="1" applyAlignment="1">
      <alignment horizontal="center" wrapText="1"/>
    </xf>
    <xf numFmtId="0" fontId="69" fillId="0" borderId="0" xfId="6" applyFont="1"/>
    <xf numFmtId="0" fontId="69" fillId="30" borderId="14" xfId="6" applyFont="1" applyFill="1" applyBorder="1" applyAlignment="1">
      <alignment wrapText="1"/>
    </xf>
    <xf numFmtId="0" fontId="69" fillId="30" borderId="15" xfId="6" applyFont="1" applyFill="1" applyBorder="1" applyAlignment="1">
      <alignment wrapText="1"/>
    </xf>
    <xf numFmtId="0" fontId="69" fillId="0" borderId="16" xfId="6" applyFont="1" applyBorder="1" applyAlignment="1">
      <alignment wrapText="1"/>
    </xf>
    <xf numFmtId="0" fontId="69" fillId="0" borderId="0" xfId="6" applyFont="1" applyAlignment="1">
      <alignment wrapText="1"/>
    </xf>
    <xf numFmtId="0" fontId="26" fillId="0" borderId="0" xfId="6" applyAlignment="1">
      <alignment wrapText="1"/>
    </xf>
    <xf numFmtId="0" fontId="70" fillId="0" borderId="0" xfId="6" applyFont="1"/>
    <xf numFmtId="0" fontId="58" fillId="0" borderId="0" xfId="6" applyFont="1"/>
    <xf numFmtId="0" fontId="71" fillId="0" borderId="0" xfId="6" applyFont="1"/>
    <xf numFmtId="0" fontId="73" fillId="0" borderId="0" xfId="6" applyFont="1"/>
    <xf numFmtId="0" fontId="74" fillId="0" borderId="0" xfId="6" applyFont="1"/>
    <xf numFmtId="0" fontId="75" fillId="0" borderId="0" xfId="6" applyFont="1" applyAlignment="1">
      <alignment horizontal="left" indent="3"/>
    </xf>
    <xf numFmtId="0" fontId="69" fillId="0" borderId="0" xfId="6" quotePrefix="1" applyFont="1"/>
    <xf numFmtId="0" fontId="26" fillId="0" borderId="0" xfId="6" quotePrefix="1"/>
    <xf numFmtId="0" fontId="0" fillId="31" borderId="0" xfId="0" applyFill="1" applyAlignment="1">
      <alignment wrapText="1"/>
    </xf>
    <xf numFmtId="0" fontId="0" fillId="32" borderId="0" xfId="0" applyFill="1" applyAlignment="1">
      <alignment wrapText="1"/>
    </xf>
    <xf numFmtId="0" fontId="77" fillId="24" borderId="0" xfId="3" applyFont="1" applyAlignment="1"/>
    <xf numFmtId="0" fontId="56" fillId="32" borderId="0" xfId="0" applyFont="1" applyFill="1"/>
    <xf numFmtId="14" fontId="0" fillId="10" borderId="0" xfId="0" applyNumberFormat="1" applyFill="1"/>
    <xf numFmtId="0" fontId="0" fillId="15" borderId="0" xfId="0" applyFill="1"/>
    <xf numFmtId="0" fontId="0" fillId="11" borderId="8" xfId="0" applyFill="1" applyBorder="1" applyAlignment="1">
      <alignment horizontal="center" vertical="center"/>
    </xf>
  </cellXfs>
  <cellStyles count="7">
    <cellStyle name="一般" xfId="0" builtinId="0"/>
    <cellStyle name="一般 2" xfId="6" xr:uid="{915A4032-3773-4072-9792-18A3BEE255A2}"/>
    <cellStyle name="中等" xfId="4" builtinId="28"/>
    <cellStyle name="計算方式" xfId="2" builtinId="22"/>
    <cellStyle name="備註" xfId="5" builtinId="10"/>
    <cellStyle name="超連結" xfId="1" builtinId="8"/>
    <cellStyle name="壞" xfId="3" builtinId="27"/>
  </cellStyles>
  <dxfs count="883"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m/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m/dd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標楷體"/>
        <family val="4"/>
        <charset val="136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311150</xdr:rowOff>
    </xdr:from>
    <xdr:to>
      <xdr:col>12</xdr:col>
      <xdr:colOff>357414</xdr:colOff>
      <xdr:row>19</xdr:row>
      <xdr:rowOff>74386</xdr:rowOff>
    </xdr:to>
    <xdr:pic>
      <xdr:nvPicPr>
        <xdr:cNvPr id="2" name="圖片 1" descr="FILTER 函數 - 按照產品 (蘋果) 篩選地區">
          <a:extLst>
            <a:ext uri="{FF2B5EF4-FFF2-40B4-BE49-F238E27FC236}">
              <a16:creationId xmlns:a16="http://schemas.microsoft.com/office/drawing/2014/main" id="{2AF0778E-DE7A-4DA0-A242-F39926F3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150" y="311150"/>
          <a:ext cx="4808764" cy="412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381907</xdr:colOff>
      <xdr:row>6</xdr:row>
      <xdr:rowOff>285750</xdr:rowOff>
    </xdr:from>
    <xdr:to>
      <xdr:col>3</xdr:col>
      <xdr:colOff>301171</xdr:colOff>
      <xdr:row>6</xdr:row>
      <xdr:rowOff>4411436</xdr:rowOff>
    </xdr:to>
    <xdr:pic>
      <xdr:nvPicPr>
        <xdr:cNvPr id="2" name="圖片 1" descr="FILTER 函數 - 按照產品 (蘋果) 篩選地區">
          <a:extLst>
            <a:ext uri="{FF2B5EF4-FFF2-40B4-BE49-F238E27FC236}">
              <a16:creationId xmlns:a16="http://schemas.microsoft.com/office/drawing/2014/main" id="{B1C98F58-9DC5-4E33-B1A2-529009FB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07" y="2400300"/>
          <a:ext cx="4808764" cy="412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658586</xdr:colOff>
      <xdr:row>29</xdr:row>
      <xdr:rowOff>190501</xdr:rowOff>
    </xdr:from>
    <xdr:to>
      <xdr:col>1</xdr:col>
      <xdr:colOff>1469572</xdr:colOff>
      <xdr:row>29</xdr:row>
      <xdr:rowOff>2307772</xdr:rowOff>
    </xdr:to>
    <xdr:pic>
      <xdr:nvPicPr>
        <xdr:cNvPr id="3" name="圖片 2" descr="使用 FILTER 搭配乘號運算子 (*) 以傳回 (A5:D20) 陣列範圍中，擁有 Apples AND 且在 East 區域的所有值。">
          <a:extLst>
            <a:ext uri="{FF2B5EF4-FFF2-40B4-BE49-F238E27FC236}">
              <a16:creationId xmlns:a16="http://schemas.microsoft.com/office/drawing/2014/main" id="{AA38CBA7-203B-4699-8335-C9E48CFE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6" y="13171715"/>
          <a:ext cx="3135086" cy="2117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283029</xdr:colOff>
      <xdr:row>34</xdr:row>
      <xdr:rowOff>146956</xdr:rowOff>
    </xdr:from>
    <xdr:to>
      <xdr:col>1</xdr:col>
      <xdr:colOff>1692729</xdr:colOff>
      <xdr:row>34</xdr:row>
      <xdr:rowOff>2302328</xdr:rowOff>
    </xdr:to>
    <xdr:pic>
      <xdr:nvPicPr>
        <xdr:cNvPr id="4" name="圖片 3" descr="使用 FILTER 搭配 SORT 函數以傳回陣列範圍 (A5:D20) 中，擁有蘋果且在東部地區的所有值，然後按照遞減順序來排序單位。">
          <a:extLst>
            <a:ext uri="{FF2B5EF4-FFF2-40B4-BE49-F238E27FC236}">
              <a16:creationId xmlns:a16="http://schemas.microsoft.com/office/drawing/2014/main" id="{F89C2EAB-2404-426F-8AB5-9B96954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17803585"/>
          <a:ext cx="3733800" cy="2155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353786</xdr:colOff>
      <xdr:row>38</xdr:row>
      <xdr:rowOff>32657</xdr:rowOff>
    </xdr:from>
    <xdr:to>
      <xdr:col>1</xdr:col>
      <xdr:colOff>1676400</xdr:colOff>
      <xdr:row>38</xdr:row>
      <xdr:rowOff>2699657</xdr:rowOff>
    </xdr:to>
    <xdr:pic>
      <xdr:nvPicPr>
        <xdr:cNvPr id="5" name="圖片 4" descr="合併使用 FILTER 和 SORT – 按照 Product (Apple) OR 也按照 Region (East) 篩選">
          <a:extLst>
            <a:ext uri="{FF2B5EF4-FFF2-40B4-BE49-F238E27FC236}">
              <a16:creationId xmlns:a16="http://schemas.microsoft.com/office/drawing/2014/main" id="{00A42049-7052-4527-826B-1E59FC78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21357771"/>
          <a:ext cx="3646714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d/Documents/teaching/excel2019fun/ppt/vlookup/Xlooku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OOKUP語法"/>
      <sheetName val="國家代码"/>
      <sheetName val="staff"/>
      <sheetName val="item"/>
      <sheetName val="範例1"/>
      <sheetName val="範例2"/>
      <sheetName val="範例3"/>
      <sheetName val="範例4"/>
      <sheetName val="範例5"/>
      <sheetName val="範例6"/>
      <sheetName val="vlookup1"/>
      <sheetName val="countifs"/>
      <sheetName val="sumifs"/>
      <sheetName val="averageif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組別</v>
          </cell>
          <cell r="C1" t="str">
            <v>Code_dpt</v>
          </cell>
        </row>
        <row r="2">
          <cell r="B2" t="str">
            <v>行政室</v>
          </cell>
          <cell r="C2" t="str">
            <v>A</v>
          </cell>
        </row>
        <row r="3">
          <cell r="B3" t="str">
            <v>教學組</v>
          </cell>
          <cell r="C3" t="str">
            <v>B</v>
          </cell>
        </row>
        <row r="4">
          <cell r="B4" t="str">
            <v>作業組</v>
          </cell>
          <cell r="C4" t="str">
            <v>C</v>
          </cell>
        </row>
        <row r="5">
          <cell r="B5" t="str">
            <v>網路組</v>
          </cell>
          <cell r="C5" t="str">
            <v>D</v>
          </cell>
        </row>
        <row r="6">
          <cell r="B6" t="str">
            <v>程式組</v>
          </cell>
          <cell r="C6" t="str">
            <v>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8</v>
    <v>4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42343B-7CD7-42D1-90FA-0906AD6A2BC0}" name="表格1_date" displayName="表格1_date" ref="A1:L54" totalsRowShown="0" headerRowBorderDxfId="882" tableBorderDxfId="881" totalsRowBorderDxfId="880">
  <autoFilter ref="A1:L54" xr:uid="{7E9A4CAC-0C1C-4ECD-8EF7-F5CEC4DA2286}"/>
  <tableColumns count="12">
    <tableColumn id="1" xr3:uid="{CE08B32F-D0F3-438E-A5F1-46A5D20F9082}" name="ID" dataDxfId="879">
      <calculatedColumnFormula>B2&amp;TEXT(ROW()-1,"000")</calculatedColumnFormula>
    </tableColumn>
    <tableColumn id="2" xr3:uid="{57CBD212-6C2A-4E15-B106-6B557427BB7B}" name="Code_dpt" dataDxfId="878">
      <calculatedColumnFormula>VLOOKUP(C2,item!B:C,2,0)</calculatedColumnFormula>
    </tableColumn>
    <tableColumn id="3" xr3:uid="{E37CA103-E2E9-457D-90DB-71DC24190103}" name="組別" dataDxfId="877"/>
    <tableColumn id="4" xr3:uid="{2DB736E2-1909-4E2C-BE69-EB89C28A82A5}" name="姓名" dataDxfId="876"/>
    <tableColumn id="5" xr3:uid="{51C835AD-52E5-47F3-B33C-0803DB567617}" name="職稱" dataDxfId="875"/>
    <tableColumn id="6" xr3:uid="{A33E4F0A-7F04-4657-A01B-B1814D2E17BC}" name="電話" dataDxfId="874"/>
    <tableColumn id="7" xr3:uid="{1544C721-7DED-462C-AE9A-C4C9BD9AA236}" name="email" dataDxfId="873"/>
    <tableColumn id="8" xr3:uid="{A2F4A927-FC5F-4BE2-9A40-149399920AF9}" name="辦公室" dataDxfId="872"/>
    <tableColumn id="9" xr3:uid="{5E037C92-34FD-42DE-B531-2BF636A7B31F}" name="到職日期" dataDxfId="871"/>
    <tableColumn id="12" xr3:uid="{AD9A8469-5A18-4030-83AD-557AC82C34FA}" name="到職月份" dataDxfId="870">
      <calculatedColumnFormula>MONTH(表格1_date[[#This Row],[到職日期]])</calculatedColumnFormula>
    </tableColumn>
    <tableColumn id="10" xr3:uid="{93F3E2B7-3962-4E78-9BE7-1B47C6A1068C}" name="備註" dataDxfId="869"/>
    <tableColumn id="11" xr3:uid="{62CEB4DA-A36F-4D41-BB7D-2F09D1A74DC4}" name="NO" dataDxfId="8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F84B2-FB64-470E-BE80-7C2E32CC2E89}" name="表格1" displayName="表格1" ref="A1:M54" totalsRowShown="0" tableBorderDxfId="867">
  <autoFilter ref="A1:M54" xr:uid="{DC1F84B2-FB64-470E-BE80-7C2E32CC2E89}"/>
  <tableColumns count="13">
    <tableColumn id="1" xr3:uid="{E1193103-F5C7-4B68-ACF5-FFEF3AE6654C}" name="ID" dataDxfId="866">
      <calculatedColumnFormula>B2&amp;TEXT(ROW()-1,"000")</calculatedColumnFormula>
    </tableColumn>
    <tableColumn id="2" xr3:uid="{A70B8198-B201-4081-ACD9-6B3E526D7452}" name="Code_dpt" dataDxfId="865">
      <calculatedColumnFormula>VLOOKUP(C2,item!B:C,2,0)</calculatedColumnFormula>
    </tableColumn>
    <tableColumn id="3" xr3:uid="{FAE297CB-CAB8-41D5-9680-57461007984F}" name="組別" dataDxfId="864"/>
    <tableColumn id="4" xr3:uid="{492C7BA5-AE6C-467F-B40F-57AE5DF33121}" name="姓名" dataDxfId="863"/>
    <tableColumn id="5" xr3:uid="{0CC3F616-5FEC-4F48-9264-8B8B67DEDB44}" name="職稱" dataDxfId="862"/>
    <tableColumn id="6" xr3:uid="{1052F399-5E42-4750-B038-FAECA9F54346}" name="電話" dataDxfId="861"/>
    <tableColumn id="7" xr3:uid="{04610540-342E-4F10-A830-4A2A89D63A19}" name="email" dataDxfId="860"/>
    <tableColumn id="8" xr3:uid="{52C38BCA-50CA-4E5F-AA3B-08C7A8CEB2F7}" name="辦公室" dataDxfId="859"/>
    <tableColumn id="9" xr3:uid="{639A5BB4-B400-4726-9750-3371B22176B4}" name="到職日期" dataDxfId="858"/>
    <tableColumn id="10" xr3:uid="{E9E548C0-09CE-43E8-9089-A056E903A801}" name="備註" dataDxfId="857"/>
    <tableColumn id="11" xr3:uid="{B23E48E6-AF28-4FE1-9140-99CAAB64D5C5}" name="NO" dataDxfId="856"/>
    <tableColumn id="12" xr3:uid="{CB421508-7C6B-4855-902F-779594DE585C}" name="ID2" dataDxfId="855">
      <calculatedColumnFormula>A2</calculatedColumnFormula>
    </tableColumn>
    <tableColumn id="13" xr3:uid="{1EC1D0A0-10AB-4066-839E-77532BD29776}" name="Code_dpt3" dataDxfId="854">
      <calculatedColumnFormula>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microsoft.com/zh-tw/office/sortby-%E5%87%BD%E6%95%B8-cd2d7a62-1b93-435c-b561-d6a35134f28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support.microsoft.com/zh-tw/office/%E5%A6%82%E4%BD%95%E4%BF%AE%E6%AD%A3-ref-%E9%8C%AF%E8%AA%A4-822c8e46-e610-4d02-bf29-ec4b8c5ff4be" TargetMode="External"/><Relationship Id="rId7" Type="http://schemas.openxmlformats.org/officeDocument/2006/relationships/hyperlink" Target="https://support.microsoft.com/zh-tw/office/sort-%E5%87%BD%E6%95%B8-22f63bd0-ccc8-492f-953d-c20e8e44b86c" TargetMode="External"/><Relationship Id="rId12" Type="http://schemas.openxmlformats.org/officeDocument/2006/relationships/hyperlink" Target="https://support.microsoft.com/zh-tw/office/%E9%9A%B1%E5%90%AB%E4%BA%A4%E9%9B%86%E9%81%8B%E7%AE%97%E5%AD%90-ce3be07b-0101-4450-a24e-c1c999be2b34" TargetMode="External"/><Relationship Id="rId2" Type="http://schemas.openxmlformats.org/officeDocument/2006/relationships/hyperlink" Target="https://support.microsoft.com/zh-tw/office/%E5%A6%82%E4%BD%95%E4%BF%AE%E6%AD%A3-calc-%E9%8C%AF%E8%AA%A4-d6ee03c5-daf6-426a-8df5-4b284730ab1b" TargetMode="External"/><Relationship Id="rId1" Type="http://schemas.openxmlformats.org/officeDocument/2006/relationships/hyperlink" Target="javascript:" TargetMode="External"/><Relationship Id="rId6" Type="http://schemas.openxmlformats.org/officeDocument/2006/relationships/hyperlink" Target="https://support.microsoft.com/zh-tw/office/sequence-%E5%87%BD%E6%95%B8-57467a98-57e0-4817-9f14-2eb78519ca90" TargetMode="External"/><Relationship Id="rId11" Type="http://schemas.openxmlformats.org/officeDocument/2006/relationships/hyperlink" Target="https://support.microsoft.com/zh-tw/office/%E5%8B%95%E6%85%8B%E9%99%A3%E5%88%97%E5%85%AC%E5%BC%8F%E8%88%87%E6%BA%A2%E5%87%BA%E9%99%A3%E5%88%97%E8%A1%8C%E7%82%BA-205c6b06-03ba-4151-89a1-87a7eb36e531" TargetMode="External"/><Relationship Id="rId5" Type="http://schemas.openxmlformats.org/officeDocument/2006/relationships/hyperlink" Target="https://support.microsoft.com/zh-tw/office/randarray-%E5%87%BD%E6%95%B8-21261e55-3bec-4885-86a6-8b0a47fd4d33" TargetMode="External"/><Relationship Id="rId10" Type="http://schemas.openxmlformats.org/officeDocument/2006/relationships/hyperlink" Target="https://support.microsoft.com/zh-tw/office/%E5%A6%82%E4%BD%95%E4%BF%AE%E6%AD%A3-spill-%E9%8C%AF%E8%AA%A4-ffe0f555-b479-4a17-a6e2-ef9cc9ad4023" TargetMode="External"/><Relationship Id="rId4" Type="http://schemas.openxmlformats.org/officeDocument/2006/relationships/hyperlink" Target="https://support.microsoft.com/zh-tw/office/%E5%9C%A8%E7%9B%B8%E5%B0%8D-%E7%B5%95%E5%B0%8D%E8%88%87%E6%B7%B7%E5%90%88%E5%8F%83%E7%85%A7%E4%B9%8B%E9%96%93%E5%88%87%E6%8F%9B-dfec08cd-ae65-4f56-839e-5f0d8d0baca9" TargetMode="External"/><Relationship Id="rId9" Type="http://schemas.openxmlformats.org/officeDocument/2006/relationships/hyperlink" Target="https://support.microsoft.com/zh-tw/office/unique-%E5%87%BD%E6%95%B8-c5ab87fd-30a3-4ce9-9d1a-40204fb85e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1AC8-320A-44EC-984A-D256FFEC334C}">
  <sheetPr>
    <tabColor theme="7"/>
  </sheetPr>
  <dimension ref="A1:AC54"/>
  <sheetViews>
    <sheetView workbookViewId="0">
      <selection activeCell="Q6" sqref="Q6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9.4140625" style="99" customWidth="1"/>
    <col min="4" max="4" width="8.832031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5.5" style="100" bestFit="1" customWidth="1"/>
    <col min="11" max="11" width="4.33203125" style="23" customWidth="1"/>
    <col min="15" max="15" width="18.58203125" customWidth="1"/>
    <col min="16" max="16" width="21" customWidth="1"/>
    <col min="17" max="17" width="10.1640625" bestFit="1" customWidth="1"/>
    <col min="18" max="18" width="11.08203125" bestFit="1" customWidth="1"/>
    <col min="19" max="19" width="6.6640625" customWidth="1"/>
    <col min="20" max="20" width="6.08203125" customWidth="1"/>
    <col min="23" max="23" width="8.5" customWidth="1"/>
    <col min="24" max="24" width="7.33203125" customWidth="1"/>
    <col min="25" max="25" width="9.33203125" customWidth="1"/>
    <col min="26" max="26" width="8" bestFit="1" customWidth="1"/>
    <col min="27" max="27" width="10.5" customWidth="1"/>
    <col min="28" max="28" width="5.83203125" bestFit="1" customWidth="1"/>
    <col min="29" max="29" width="3.58203125" bestFit="1" customWidth="1"/>
  </cols>
  <sheetData>
    <row r="1" spans="1:29" ht="36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N1" s="116" t="s">
        <v>623</v>
      </c>
      <c r="O1" t="s">
        <v>824</v>
      </c>
      <c r="P1" s="127" t="s">
        <v>5</v>
      </c>
      <c r="Q1" s="125" t="s">
        <v>823</v>
      </c>
      <c r="R1" s="35" t="s">
        <v>822</v>
      </c>
      <c r="S1" s="33" t="str">
        <f>A1</f>
        <v>ID</v>
      </c>
      <c r="T1" s="33" t="str">
        <f t="shared" ref="T1:AC1" si="0">B1</f>
        <v>Code_dpt</v>
      </c>
      <c r="U1" s="33" t="str">
        <f t="shared" si="0"/>
        <v>組別</v>
      </c>
      <c r="V1" s="33" t="str">
        <f t="shared" si="0"/>
        <v>姓名</v>
      </c>
      <c r="W1" s="33" t="str">
        <f t="shared" si="0"/>
        <v>職稱</v>
      </c>
      <c r="X1" s="33" t="str">
        <f t="shared" si="0"/>
        <v>電話</v>
      </c>
      <c r="Y1" s="33" t="str">
        <f t="shared" si="0"/>
        <v>email</v>
      </c>
      <c r="Z1" s="33" t="str">
        <f t="shared" si="0"/>
        <v>辦公室</v>
      </c>
      <c r="AA1" s="33" t="str">
        <f t="shared" si="0"/>
        <v>到職日期</v>
      </c>
      <c r="AB1" s="33" t="str">
        <f t="shared" si="0"/>
        <v>備註</v>
      </c>
      <c r="AC1" s="33" t="str">
        <f t="shared" si="0"/>
        <v>NO</v>
      </c>
    </row>
    <row r="2" spans="1:29" ht="46.3" x14ac:dyDescent="0.4">
      <c r="A2" s="42" t="str">
        <f>B2&amp;TEXT(ROW()-1,"000")</f>
        <v>A001</v>
      </c>
      <c r="B2" s="42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N2" s="125" t="s">
        <v>632</v>
      </c>
      <c r="O2" s="126" t="s">
        <v>821</v>
      </c>
      <c r="P2" s="114"/>
      <c r="Q2" t="b" cm="1">
        <f t="array" ref="Q2:Q54">MONTH(I2:I54)=5</f>
        <v>0</v>
      </c>
      <c r="R2" t="e" cm="1" vm="1">
        <f t="array" aca="1" ref="R2" ca="1">_xlfn._xlws.FILTER(staff,MONTH(I2:I54)=MONTH(TODAY()),"本月無資料")</f>
        <v>#VALUE!</v>
      </c>
      <c r="S2" t="str" cm="1">
        <f t="array" aca="1" ref="S2:AC6" ca="1">_xlfn._xlws.FILTER(staff,MONTH(I2:I54)=MONTH(TODAY()),"本月無資料")</f>
        <v>A004</v>
      </c>
      <c r="T2" t="str">
        <f ca="1"/>
        <v>A</v>
      </c>
      <c r="U2" t="str">
        <f ca="1"/>
        <v>行政室</v>
      </c>
      <c r="V2" t="str">
        <f ca="1"/>
        <v>陳玟諭</v>
      </c>
      <c r="W2" t="str">
        <f ca="1"/>
        <v>副理</v>
      </c>
      <c r="X2">
        <f ca="1"/>
        <v>65048</v>
      </c>
      <c r="Y2" t="str">
        <f ca="1"/>
        <v>wenyuchen@ntu.edu.tw</v>
      </c>
      <c r="Z2">
        <f ca="1"/>
        <v>216</v>
      </c>
      <c r="AA2" s="128">
        <f ca="1"/>
        <v>35886</v>
      </c>
      <c r="AB2">
        <f ca="1"/>
        <v>0</v>
      </c>
      <c r="AC2" t="str">
        <f ca="1"/>
        <v>04</v>
      </c>
    </row>
    <row r="3" spans="1:29" x14ac:dyDescent="0.4">
      <c r="A3" s="42" t="str">
        <f t="shared" ref="A3:A54" si="1">B3&amp;TEXT(ROW()-1,"000")</f>
        <v>A002</v>
      </c>
      <c r="B3" s="42" t="str">
        <f>VLOOKUP(C3,item!B:C,2,0)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56"/>
      <c r="K3" s="50" t="s">
        <v>643</v>
      </c>
      <c r="Q3" t="b">
        <v>0</v>
      </c>
      <c r="S3" t="str">
        <f ca="1"/>
        <v>C016</v>
      </c>
      <c r="T3" t="str">
        <f ca="1"/>
        <v>C</v>
      </c>
      <c r="U3" t="str">
        <f ca="1"/>
        <v>作業組</v>
      </c>
      <c r="V3" t="str">
        <f ca="1"/>
        <v>高鈺盛</v>
      </c>
      <c r="W3" t="str">
        <f ca="1"/>
        <v>幹事</v>
      </c>
      <c r="X3">
        <f ca="1"/>
        <v>69869</v>
      </c>
      <c r="Y3" t="str">
        <f ca="1"/>
        <v>yusengao@ntu.edu.tw</v>
      </c>
      <c r="Z3">
        <f ca="1"/>
        <v>316</v>
      </c>
      <c r="AA3" s="128">
        <f ca="1"/>
        <v>36251</v>
      </c>
      <c r="AB3">
        <f ca="1"/>
        <v>0</v>
      </c>
      <c r="AC3" t="str">
        <f ca="1"/>
        <v>16</v>
      </c>
    </row>
    <row r="4" spans="1:29" x14ac:dyDescent="0.4">
      <c r="A4" s="42" t="str">
        <f t="shared" si="1"/>
        <v>A003</v>
      </c>
      <c r="B4" s="42" t="str">
        <f>VLOOKUP(C4,item!B:C,2,0)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56"/>
      <c r="K4" s="50" t="s">
        <v>647</v>
      </c>
      <c r="Q4" t="b">
        <v>0</v>
      </c>
      <c r="S4" t="str">
        <f ca="1"/>
        <v>D028</v>
      </c>
      <c r="T4" t="str">
        <f ca="1"/>
        <v>D</v>
      </c>
      <c r="U4" t="str">
        <f ca="1"/>
        <v>網路組</v>
      </c>
      <c r="V4" t="str">
        <f ca="1"/>
        <v>江培文</v>
      </c>
      <c r="W4" t="str">
        <f ca="1"/>
        <v>研究助理</v>
      </c>
      <c r="X4">
        <f ca="1"/>
        <v>65513</v>
      </c>
      <c r="Y4" t="str">
        <f ca="1"/>
        <v>peiwen@ntu.edu.tw</v>
      </c>
      <c r="Z4">
        <f ca="1"/>
        <v>411</v>
      </c>
      <c r="AA4" s="128">
        <f ca="1"/>
        <v>36617</v>
      </c>
      <c r="AB4">
        <f ca="1"/>
        <v>0</v>
      </c>
      <c r="AC4" t="str">
        <f ca="1"/>
        <v>28</v>
      </c>
    </row>
    <row r="5" spans="1:29" x14ac:dyDescent="0.4">
      <c r="A5" s="42" t="str">
        <f t="shared" si="1"/>
        <v>A004</v>
      </c>
      <c r="B5" s="42" t="str">
        <f>VLOOKUP(C5,item!B:C,2,0)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56"/>
      <c r="K5" s="50" t="s">
        <v>651</v>
      </c>
      <c r="Q5" t="b">
        <v>0</v>
      </c>
      <c r="S5" t="str">
        <f ca="1"/>
        <v>E040</v>
      </c>
      <c r="T5" t="str">
        <f ca="1"/>
        <v>E</v>
      </c>
      <c r="U5" t="str">
        <f ca="1"/>
        <v>程式組</v>
      </c>
      <c r="V5" t="str">
        <f ca="1"/>
        <v>洪嘉駿</v>
      </c>
      <c r="W5" t="str">
        <f ca="1"/>
        <v>幹事</v>
      </c>
      <c r="X5">
        <f ca="1"/>
        <v>65517</v>
      </c>
      <c r="Y5" t="str">
        <f ca="1"/>
        <v>jiajiunhung@ntu.edu.tw</v>
      </c>
      <c r="Z5">
        <f ca="1"/>
        <v>311</v>
      </c>
      <c r="AA5" s="128">
        <f ca="1"/>
        <v>36982</v>
      </c>
      <c r="AB5">
        <f ca="1"/>
        <v>0</v>
      </c>
      <c r="AC5" t="str">
        <f ca="1"/>
        <v>40</v>
      </c>
    </row>
    <row r="6" spans="1:29" x14ac:dyDescent="0.4">
      <c r="A6" s="42" t="str">
        <f t="shared" si="1"/>
        <v>A005</v>
      </c>
      <c r="B6" s="42" t="str">
        <f>VLOOKUP(C6,item!B:C,2,0)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62"/>
      <c r="K6" s="50" t="s">
        <v>655</v>
      </c>
      <c r="Q6" s="115" t="b">
        <v>1</v>
      </c>
      <c r="S6" t="str">
        <f ca="1"/>
        <v>E052</v>
      </c>
      <c r="T6" t="str">
        <f ca="1"/>
        <v>E</v>
      </c>
      <c r="U6" t="str">
        <f ca="1"/>
        <v>程式組</v>
      </c>
      <c r="V6" t="str">
        <f ca="1"/>
        <v>陳永樵</v>
      </c>
      <c r="W6" t="str">
        <f ca="1"/>
        <v>系統分析設計師</v>
      </c>
      <c r="X6">
        <f ca="1"/>
        <v>65015</v>
      </c>
      <c r="Y6" t="str">
        <f ca="1"/>
        <v>chenyc@ntu.edu.tw</v>
      </c>
      <c r="Z6">
        <f ca="1"/>
        <v>407</v>
      </c>
      <c r="AA6" s="128">
        <f ca="1"/>
        <v>37347</v>
      </c>
      <c r="AB6">
        <f ca="1"/>
        <v>0</v>
      </c>
      <c r="AC6" t="str">
        <f ca="1"/>
        <v>52</v>
      </c>
    </row>
    <row r="7" spans="1:29" x14ac:dyDescent="0.4">
      <c r="A7" s="42" t="str">
        <f t="shared" si="1"/>
        <v>B006</v>
      </c>
      <c r="B7" s="42" t="str">
        <f>VLOOKUP(C7,item!B:C,2,0)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62"/>
      <c r="K7" s="50" t="s">
        <v>662</v>
      </c>
      <c r="Q7" t="b">
        <v>0</v>
      </c>
    </row>
    <row r="8" spans="1:29" x14ac:dyDescent="0.4">
      <c r="A8" s="42" t="str">
        <f t="shared" si="1"/>
        <v>B007</v>
      </c>
      <c r="B8" s="42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Q8" t="b">
        <v>0</v>
      </c>
    </row>
    <row r="9" spans="1:29" x14ac:dyDescent="0.4">
      <c r="A9" s="42" t="str">
        <f t="shared" si="1"/>
        <v>B008</v>
      </c>
      <c r="B9" s="42" t="str">
        <f>VLOOKUP(C9,item!B:C,2,0)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56"/>
      <c r="K9" s="50" t="s">
        <v>669</v>
      </c>
      <c r="Q9" t="b">
        <v>0</v>
      </c>
      <c r="R9" s="35" t="s">
        <v>822</v>
      </c>
    </row>
    <row r="10" spans="1:29" x14ac:dyDescent="0.4">
      <c r="A10" s="42" t="str">
        <f t="shared" si="1"/>
        <v>B009</v>
      </c>
      <c r="B10" s="42" t="str">
        <f>VLOOKUP(C10,item!B:C,2,0)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68"/>
      <c r="K10" s="50" t="s">
        <v>672</v>
      </c>
      <c r="Q10" t="b">
        <v>0</v>
      </c>
      <c r="R10" s="114" t="s">
        <v>825</v>
      </c>
    </row>
    <row r="11" spans="1:29" ht="45" x14ac:dyDescent="0.4">
      <c r="A11" s="42" t="str">
        <f t="shared" si="1"/>
        <v>C010</v>
      </c>
      <c r="B11" s="42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Q11" t="b">
        <v>0</v>
      </c>
    </row>
    <row r="12" spans="1:29" ht="30" x14ac:dyDescent="0.4">
      <c r="A12" s="42" t="str">
        <f t="shared" si="1"/>
        <v>C011</v>
      </c>
      <c r="B12" s="42" t="str">
        <f>VLOOKUP(C12,item!B:C,2,0)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56"/>
      <c r="K12" s="50" t="s">
        <v>679</v>
      </c>
      <c r="Q12" t="b">
        <v>0</v>
      </c>
      <c r="S12" s="33" t="str">
        <f>A12</f>
        <v>C011</v>
      </c>
      <c r="T12" s="33" t="str">
        <f t="shared" ref="T12" si="2">B12</f>
        <v>C</v>
      </c>
      <c r="U12" s="33" t="str">
        <f t="shared" ref="U12" si="3">C12</f>
        <v>作業組</v>
      </c>
      <c r="V12" s="33" t="str">
        <f t="shared" ref="V12" si="4">D12</f>
        <v>張傑生</v>
      </c>
      <c r="W12" s="33" t="str">
        <f t="shared" ref="W12" si="5">E12</f>
        <v>程式設計師</v>
      </c>
      <c r="X12" s="33">
        <f t="shared" ref="X12" si="6">F12</f>
        <v>65026</v>
      </c>
      <c r="Y12" s="33" t="str">
        <f t="shared" ref="Y12" si="7">G12</f>
        <v>jsc@ntu.edu.tw</v>
      </c>
      <c r="Z12" s="33">
        <f t="shared" ref="Z12" si="8">H12</f>
        <v>403</v>
      </c>
      <c r="AA12" s="33">
        <f t="shared" ref="AA12" si="9">I12</f>
        <v>36100</v>
      </c>
      <c r="AB12" s="33">
        <f t="shared" ref="AB12" si="10">J12</f>
        <v>0</v>
      </c>
      <c r="AC12" s="33" t="str">
        <f t="shared" ref="AC12" si="11">K12</f>
        <v>11</v>
      </c>
    </row>
    <row r="13" spans="1:29" x14ac:dyDescent="0.4">
      <c r="A13" s="42" t="str">
        <f t="shared" si="1"/>
        <v>C012</v>
      </c>
      <c r="B13" s="42" t="str">
        <f>VLOOKUP(C13,item!B:C,2,0)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56"/>
      <c r="K13" s="50" t="s">
        <v>682</v>
      </c>
      <c r="Q13" t="b">
        <v>0</v>
      </c>
      <c r="S13" t="str" cm="1">
        <f t="array" aca="1" ref="S13:AC17" ca="1">_xlfn._xlws.FILTER(staff,MONTH(I2:I54)=MONTH(TODAY()),"本月無資料")</f>
        <v>A004</v>
      </c>
      <c r="T13" t="str">
        <f ca="1"/>
        <v>A</v>
      </c>
      <c r="U13" t="str">
        <f ca="1"/>
        <v>行政室</v>
      </c>
      <c r="V13" t="str">
        <f ca="1"/>
        <v>陳玟諭</v>
      </c>
      <c r="W13" t="str">
        <f ca="1"/>
        <v>副理</v>
      </c>
      <c r="X13">
        <f ca="1"/>
        <v>65048</v>
      </c>
      <c r="Y13" t="str">
        <f ca="1"/>
        <v>wenyuchen@ntu.edu.tw</v>
      </c>
      <c r="Z13">
        <f ca="1"/>
        <v>216</v>
      </c>
      <c r="AA13">
        <f ca="1"/>
        <v>35886</v>
      </c>
      <c r="AB13">
        <f ca="1"/>
        <v>0</v>
      </c>
      <c r="AC13" t="str">
        <f ca="1"/>
        <v>04</v>
      </c>
    </row>
    <row r="14" spans="1:29" x14ac:dyDescent="0.4">
      <c r="A14" s="42" t="str">
        <f t="shared" si="1"/>
        <v>C013</v>
      </c>
      <c r="B14" s="42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72"/>
      <c r="K14" s="50" t="s">
        <v>685</v>
      </c>
      <c r="Q14" t="b">
        <v>0</v>
      </c>
      <c r="S14" t="str">
        <f ca="1"/>
        <v>C016</v>
      </c>
      <c r="T14" t="str">
        <f ca="1"/>
        <v>C</v>
      </c>
      <c r="U14" t="str">
        <f ca="1"/>
        <v>作業組</v>
      </c>
      <c r="V14" t="str">
        <f ca="1"/>
        <v>高鈺盛</v>
      </c>
      <c r="W14" t="str">
        <f ca="1"/>
        <v>幹事</v>
      </c>
      <c r="X14">
        <f ca="1"/>
        <v>69869</v>
      </c>
      <c r="Y14" t="str">
        <f ca="1"/>
        <v>yusengao@ntu.edu.tw</v>
      </c>
      <c r="Z14">
        <f ca="1"/>
        <v>316</v>
      </c>
      <c r="AA14">
        <f ca="1"/>
        <v>36251</v>
      </c>
      <c r="AB14">
        <f ca="1"/>
        <v>0</v>
      </c>
      <c r="AC14" t="str">
        <f ca="1"/>
        <v>16</v>
      </c>
    </row>
    <row r="15" spans="1:29" ht="16.75" x14ac:dyDescent="0.45">
      <c r="A15" s="42" t="str">
        <f t="shared" si="1"/>
        <v>C014</v>
      </c>
      <c r="B15" s="42" t="str">
        <f>VLOOKUP(C15,item!B:C,2,0)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56"/>
      <c r="K15" s="50" t="s">
        <v>688</v>
      </c>
      <c r="Q15" t="b">
        <v>0</v>
      </c>
      <c r="S15" t="str">
        <f ca="1"/>
        <v>D028</v>
      </c>
      <c r="T15" t="str">
        <f ca="1"/>
        <v>D</v>
      </c>
      <c r="U15" t="str">
        <f ca="1"/>
        <v>網路組</v>
      </c>
      <c r="V15" t="str">
        <f ca="1"/>
        <v>江培文</v>
      </c>
      <c r="W15" t="str">
        <f ca="1"/>
        <v>研究助理</v>
      </c>
      <c r="X15">
        <f ca="1"/>
        <v>65513</v>
      </c>
      <c r="Y15" t="str">
        <f ca="1"/>
        <v>peiwen@ntu.edu.tw</v>
      </c>
      <c r="Z15">
        <f ca="1"/>
        <v>411</v>
      </c>
      <c r="AA15">
        <f ca="1"/>
        <v>36617</v>
      </c>
      <c r="AB15">
        <f ca="1"/>
        <v>0</v>
      </c>
      <c r="AC15" t="str">
        <f ca="1"/>
        <v>28</v>
      </c>
    </row>
    <row r="16" spans="1:29" x14ac:dyDescent="0.4">
      <c r="A16" s="42" t="str">
        <f t="shared" si="1"/>
        <v>C015</v>
      </c>
      <c r="B16" s="42" t="str">
        <f>VLOOKUP(C16,item!B:C,2,0)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56"/>
      <c r="K16" s="50" t="s">
        <v>691</v>
      </c>
      <c r="Q16" t="b">
        <v>0</v>
      </c>
      <c r="S16" t="str">
        <f ca="1"/>
        <v>E040</v>
      </c>
      <c r="T16" t="str">
        <f ca="1"/>
        <v>E</v>
      </c>
      <c r="U16" t="str">
        <f ca="1"/>
        <v>程式組</v>
      </c>
      <c r="V16" t="str">
        <f ca="1"/>
        <v>洪嘉駿</v>
      </c>
      <c r="W16" t="str">
        <f ca="1"/>
        <v>幹事</v>
      </c>
      <c r="X16">
        <f ca="1"/>
        <v>65517</v>
      </c>
      <c r="Y16" t="str">
        <f ca="1"/>
        <v>jiajiunhung@ntu.edu.tw</v>
      </c>
      <c r="Z16">
        <f ca="1"/>
        <v>311</v>
      </c>
      <c r="AA16">
        <f ca="1"/>
        <v>36982</v>
      </c>
      <c r="AB16">
        <f ca="1"/>
        <v>0</v>
      </c>
      <c r="AC16" t="str">
        <f ca="1"/>
        <v>40</v>
      </c>
    </row>
    <row r="17" spans="1:29" x14ac:dyDescent="0.4">
      <c r="A17" s="42" t="str">
        <f t="shared" si="1"/>
        <v>C016</v>
      </c>
      <c r="B17" s="42" t="str">
        <f>VLOOKUP(C17,item!B:C,2,0)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56"/>
      <c r="K17" s="50" t="s">
        <v>694</v>
      </c>
      <c r="Q17" t="b">
        <v>0</v>
      </c>
      <c r="S17" t="str">
        <f ca="1"/>
        <v>E052</v>
      </c>
      <c r="T17" t="str">
        <f ca="1"/>
        <v>E</v>
      </c>
      <c r="U17" t="str">
        <f ca="1"/>
        <v>程式組</v>
      </c>
      <c r="V17" t="str">
        <f ca="1"/>
        <v>陳永樵</v>
      </c>
      <c r="W17" t="str">
        <f ca="1"/>
        <v>系統分析設計師</v>
      </c>
      <c r="X17">
        <f ca="1"/>
        <v>65015</v>
      </c>
      <c r="Y17" t="str">
        <f ca="1"/>
        <v>chenyc@ntu.edu.tw</v>
      </c>
      <c r="Z17">
        <f ca="1"/>
        <v>407</v>
      </c>
      <c r="AA17">
        <f ca="1"/>
        <v>37347</v>
      </c>
      <c r="AB17">
        <f ca="1"/>
        <v>0</v>
      </c>
      <c r="AC17" t="str">
        <f ca="1"/>
        <v>52</v>
      </c>
    </row>
    <row r="18" spans="1:29" x14ac:dyDescent="0.4">
      <c r="A18" s="42" t="str">
        <f t="shared" si="1"/>
        <v>C017</v>
      </c>
      <c r="B18" s="42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Q18" t="b">
        <v>1</v>
      </c>
    </row>
    <row r="19" spans="1:29" x14ac:dyDescent="0.4">
      <c r="A19" s="42" t="str">
        <f t="shared" si="1"/>
        <v>C018</v>
      </c>
      <c r="B19" s="42" t="str">
        <f>VLOOKUP(C19,item!B:C,2,0)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56"/>
      <c r="K19" s="50" t="s">
        <v>700</v>
      </c>
      <c r="Q19" t="b">
        <v>0</v>
      </c>
    </row>
    <row r="20" spans="1:29" x14ac:dyDescent="0.4">
      <c r="A20" s="42" t="str">
        <f t="shared" si="1"/>
        <v>C019</v>
      </c>
      <c r="B20" s="42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Q20" t="b">
        <v>0</v>
      </c>
    </row>
    <row r="21" spans="1:29" x14ac:dyDescent="0.4">
      <c r="A21" s="42" t="str">
        <f t="shared" si="1"/>
        <v>C020</v>
      </c>
      <c r="B21" s="42" t="str">
        <f>VLOOKUP(C21,item!B:C,2,0)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56"/>
      <c r="K21" s="50" t="s">
        <v>706</v>
      </c>
      <c r="Q21" t="b">
        <v>0</v>
      </c>
    </row>
    <row r="22" spans="1:29" x14ac:dyDescent="0.4">
      <c r="A22" s="42" t="str">
        <f t="shared" si="1"/>
        <v>D021</v>
      </c>
      <c r="B22" s="42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Q22" t="b">
        <v>0</v>
      </c>
    </row>
    <row r="23" spans="1:29" x14ac:dyDescent="0.4">
      <c r="A23" s="42" t="str">
        <f t="shared" si="1"/>
        <v>D022</v>
      </c>
      <c r="B23" s="42" t="str">
        <f>VLOOKUP(C23,item!B:C,2,0)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56"/>
      <c r="K23" s="50" t="s">
        <v>714</v>
      </c>
      <c r="Q23" t="b">
        <v>0</v>
      </c>
    </row>
    <row r="24" spans="1:29" x14ac:dyDescent="0.4">
      <c r="A24" s="42" t="str">
        <f t="shared" si="1"/>
        <v>D023</v>
      </c>
      <c r="B24" s="42" t="str">
        <f>VLOOKUP(C24,item!B:C,2,0)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56"/>
      <c r="K24" s="50" t="s">
        <v>717</v>
      </c>
      <c r="Q24" t="b">
        <v>0</v>
      </c>
    </row>
    <row r="25" spans="1:29" ht="16.75" x14ac:dyDescent="0.45">
      <c r="A25" s="42" t="str">
        <f t="shared" si="1"/>
        <v>D024</v>
      </c>
      <c r="B25" s="42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56"/>
      <c r="K25" s="50" t="s">
        <v>721</v>
      </c>
      <c r="Q25" t="b">
        <v>0</v>
      </c>
    </row>
    <row r="26" spans="1:29" x14ac:dyDescent="0.4">
      <c r="A26" s="42" t="str">
        <f t="shared" si="1"/>
        <v>D025</v>
      </c>
      <c r="B26" s="42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87"/>
      <c r="K26" s="50" t="s">
        <v>724</v>
      </c>
      <c r="Q26" t="b">
        <v>0</v>
      </c>
    </row>
    <row r="27" spans="1:29" ht="16.75" x14ac:dyDescent="0.45">
      <c r="A27" s="42" t="str">
        <f t="shared" si="1"/>
        <v>D026</v>
      </c>
      <c r="B27" s="42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56"/>
      <c r="K27" s="50" t="s">
        <v>727</v>
      </c>
      <c r="Q27" t="b">
        <v>0</v>
      </c>
    </row>
    <row r="28" spans="1:29" ht="16.75" x14ac:dyDescent="0.45">
      <c r="A28" s="42" t="str">
        <f t="shared" si="1"/>
        <v>D027</v>
      </c>
      <c r="B28" s="42" t="str">
        <f>VLOOKUP(C28,item!B:C,2,0)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56"/>
      <c r="K28" s="50" t="s">
        <v>731</v>
      </c>
      <c r="Q28" t="b">
        <v>0</v>
      </c>
    </row>
    <row r="29" spans="1:29" ht="16.75" x14ac:dyDescent="0.45">
      <c r="A29" s="42" t="str">
        <f t="shared" si="1"/>
        <v>D028</v>
      </c>
      <c r="B29" s="42" t="str">
        <f>VLOOKUP(C29,item!B:C,2,0)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56"/>
      <c r="K29" s="50" t="s">
        <v>734</v>
      </c>
      <c r="Q29" t="b">
        <v>0</v>
      </c>
    </row>
    <row r="30" spans="1:29" ht="30" x14ac:dyDescent="0.4">
      <c r="A30" s="42" t="str">
        <f t="shared" si="1"/>
        <v>D029</v>
      </c>
      <c r="B30" s="42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Q30" t="b">
        <v>1</v>
      </c>
    </row>
    <row r="31" spans="1:29" ht="45" x14ac:dyDescent="0.4">
      <c r="A31" s="42" t="str">
        <f t="shared" si="1"/>
        <v>D030</v>
      </c>
      <c r="B31" s="42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Q31" t="b">
        <v>0</v>
      </c>
    </row>
    <row r="32" spans="1:29" ht="45" x14ac:dyDescent="0.4">
      <c r="A32" s="42" t="str">
        <f t="shared" si="1"/>
        <v>D031</v>
      </c>
      <c r="B32" s="42" t="str">
        <f>VLOOKUP(C32,item!B:C,2,0)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59"/>
      <c r="K32" s="50" t="s">
        <v>747</v>
      </c>
      <c r="Q32" t="b">
        <v>0</v>
      </c>
    </row>
    <row r="33" spans="1:17" ht="45" x14ac:dyDescent="0.4">
      <c r="A33" s="42" t="str">
        <f t="shared" si="1"/>
        <v>D032</v>
      </c>
      <c r="B33" s="42" t="str">
        <f>VLOOKUP(C33,item!B:C,2,0)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56"/>
      <c r="K33" s="50" t="s">
        <v>750</v>
      </c>
      <c r="Q33" t="b">
        <v>0</v>
      </c>
    </row>
    <row r="34" spans="1:17" x14ac:dyDescent="0.4">
      <c r="A34" s="42" t="str">
        <f t="shared" si="1"/>
        <v>E033</v>
      </c>
      <c r="B34" s="42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Q34" t="b">
        <v>0</v>
      </c>
    </row>
    <row r="35" spans="1:17" x14ac:dyDescent="0.4">
      <c r="A35" s="42" t="str">
        <f t="shared" si="1"/>
        <v>E034</v>
      </c>
      <c r="B35" s="42" t="str">
        <f>VLOOKUP(C35,item!B:C,2,0)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56"/>
      <c r="K35" s="50" t="s">
        <v>757</v>
      </c>
      <c r="Q35" t="b">
        <v>0</v>
      </c>
    </row>
    <row r="36" spans="1:17" x14ac:dyDescent="0.4">
      <c r="A36" s="42" t="str">
        <f t="shared" si="1"/>
        <v>E035</v>
      </c>
      <c r="B36" s="42" t="str">
        <f>VLOOKUP(C36,item!B:C,2,0)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62"/>
      <c r="K36" s="50" t="s">
        <v>760</v>
      </c>
      <c r="Q36" t="b">
        <v>0</v>
      </c>
    </row>
    <row r="37" spans="1:17" x14ac:dyDescent="0.4">
      <c r="A37" s="42" t="str">
        <f t="shared" si="1"/>
        <v>E036</v>
      </c>
      <c r="B37" s="42" t="str">
        <f>VLOOKUP(C37,item!B:C,2,0)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56"/>
      <c r="K37" s="50" t="s">
        <v>763</v>
      </c>
      <c r="Q37" t="b">
        <v>0</v>
      </c>
    </row>
    <row r="38" spans="1:17" x14ac:dyDescent="0.4">
      <c r="A38" s="42" t="str">
        <f t="shared" si="1"/>
        <v>E037</v>
      </c>
      <c r="B38" s="42" t="str">
        <f>VLOOKUP(C38,item!B:C,2,0)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56"/>
      <c r="K38" s="50" t="s">
        <v>764</v>
      </c>
      <c r="Q38" t="b">
        <v>0</v>
      </c>
    </row>
    <row r="39" spans="1:17" x14ac:dyDescent="0.4">
      <c r="A39" s="42" t="str">
        <f t="shared" si="1"/>
        <v>E038</v>
      </c>
      <c r="B39" s="42" t="str">
        <f>VLOOKUP(C39,item!B:C,2,0)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56"/>
      <c r="K39" s="50" t="s">
        <v>768</v>
      </c>
      <c r="Q39" t="b">
        <v>0</v>
      </c>
    </row>
    <row r="40" spans="1:17" x14ac:dyDescent="0.4">
      <c r="A40" s="42" t="str">
        <f t="shared" si="1"/>
        <v>E039</v>
      </c>
      <c r="B40" s="42" t="str">
        <f>VLOOKUP(C40,item!B:C,2,0)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72"/>
      <c r="K40" s="50" t="s">
        <v>769</v>
      </c>
      <c r="Q40" t="b">
        <v>0</v>
      </c>
    </row>
    <row r="41" spans="1:17" x14ac:dyDescent="0.4">
      <c r="A41" s="42" t="str">
        <f t="shared" si="1"/>
        <v>E040</v>
      </c>
      <c r="B41" s="42" t="str">
        <f>VLOOKUP(C41,item!B:C,2,0)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56"/>
      <c r="K41" s="50" t="s">
        <v>772</v>
      </c>
      <c r="Q41" t="b">
        <v>0</v>
      </c>
    </row>
    <row r="42" spans="1:17" x14ac:dyDescent="0.4">
      <c r="A42" s="42" t="str">
        <f t="shared" si="1"/>
        <v>E041</v>
      </c>
      <c r="B42" s="42" t="str">
        <f>VLOOKUP(C42,item!B:C,2,0)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56"/>
      <c r="K42" s="50" t="s">
        <v>775</v>
      </c>
      <c r="Q42" t="b">
        <v>1</v>
      </c>
    </row>
    <row r="43" spans="1:17" x14ac:dyDescent="0.4">
      <c r="A43" s="42" t="str">
        <f t="shared" si="1"/>
        <v>E042</v>
      </c>
      <c r="B43" s="42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Q43" t="b">
        <v>0</v>
      </c>
    </row>
    <row r="44" spans="1:17" x14ac:dyDescent="0.4">
      <c r="A44" s="42" t="str">
        <f t="shared" si="1"/>
        <v>E043</v>
      </c>
      <c r="B44" s="42" t="str">
        <f>VLOOKUP(C44,item!B:C,2,0)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72"/>
      <c r="K44" s="50" t="s">
        <v>781</v>
      </c>
      <c r="Q44" t="b">
        <v>0</v>
      </c>
    </row>
    <row r="45" spans="1:17" x14ac:dyDescent="0.4">
      <c r="A45" s="42" t="str">
        <f t="shared" si="1"/>
        <v>E044</v>
      </c>
      <c r="B45" s="42" t="str">
        <f>VLOOKUP(C45,item!B:C,2,0)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56"/>
      <c r="K45" s="50" t="s">
        <v>784</v>
      </c>
      <c r="Q45" t="b">
        <v>0</v>
      </c>
    </row>
    <row r="46" spans="1:17" x14ac:dyDescent="0.4">
      <c r="A46" s="42" t="str">
        <f t="shared" si="1"/>
        <v>E045</v>
      </c>
      <c r="B46" s="42" t="str">
        <f>VLOOKUP(C46,item!B:C,2,0)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56"/>
      <c r="K46" s="50" t="s">
        <v>787</v>
      </c>
      <c r="Q46" t="b">
        <v>0</v>
      </c>
    </row>
    <row r="47" spans="1:17" x14ac:dyDescent="0.4">
      <c r="A47" s="42" t="str">
        <f t="shared" si="1"/>
        <v>E046</v>
      </c>
      <c r="B47" s="42" t="str">
        <f>VLOOKUP(C47,item!B:C,2,0)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56"/>
      <c r="K47" s="50" t="s">
        <v>790</v>
      </c>
      <c r="Q47" t="b">
        <v>0</v>
      </c>
    </row>
    <row r="48" spans="1:17" x14ac:dyDescent="0.4">
      <c r="A48" s="42" t="str">
        <f t="shared" si="1"/>
        <v>E047</v>
      </c>
      <c r="B48" s="42" t="str">
        <f>VLOOKUP(C48,item!B:C,2,0)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56"/>
      <c r="K48" s="50" t="s">
        <v>793</v>
      </c>
      <c r="Q48" t="b">
        <v>0</v>
      </c>
    </row>
    <row r="49" spans="1:17" x14ac:dyDescent="0.4">
      <c r="A49" s="42" t="str">
        <f t="shared" si="1"/>
        <v>E048</v>
      </c>
      <c r="B49" s="42" t="str">
        <f>VLOOKUP(C49,item!B:C,2,0)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72"/>
      <c r="K49" s="50" t="s">
        <v>794</v>
      </c>
      <c r="Q49" t="b">
        <v>0</v>
      </c>
    </row>
    <row r="50" spans="1:17" x14ac:dyDescent="0.4">
      <c r="A50" s="42" t="str">
        <f t="shared" si="1"/>
        <v>E049</v>
      </c>
      <c r="B50" s="42" t="str">
        <f>VLOOKUP(C50,item!B:C,2,0)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56"/>
      <c r="K50" s="50" t="s">
        <v>797</v>
      </c>
      <c r="Q50" t="b">
        <v>0</v>
      </c>
    </row>
    <row r="51" spans="1:17" x14ac:dyDescent="0.4">
      <c r="A51" s="42" t="str">
        <f t="shared" si="1"/>
        <v>E050</v>
      </c>
      <c r="B51" s="42" t="str">
        <f>VLOOKUP(C51,item!B:C,2,0)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62"/>
      <c r="K51" s="50" t="s">
        <v>800</v>
      </c>
      <c r="Q51" t="b">
        <v>0</v>
      </c>
    </row>
    <row r="52" spans="1:17" x14ac:dyDescent="0.4">
      <c r="A52" s="42" t="str">
        <f t="shared" si="1"/>
        <v>E051</v>
      </c>
      <c r="B52" s="42" t="str">
        <f>VLOOKUP(C52,item!B:C,2,0)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62"/>
      <c r="K52" s="50" t="s">
        <v>803</v>
      </c>
      <c r="Q52" t="b">
        <v>0</v>
      </c>
    </row>
    <row r="53" spans="1:17" ht="30" x14ac:dyDescent="0.4">
      <c r="A53" s="42" t="str">
        <f t="shared" si="1"/>
        <v>E052</v>
      </c>
      <c r="B53" s="42" t="str">
        <f>VLOOKUP(C53,item!B:C,2,0)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62"/>
      <c r="K53" s="50" t="s">
        <v>807</v>
      </c>
      <c r="Q53" t="b">
        <v>0</v>
      </c>
    </row>
    <row r="54" spans="1:17" x14ac:dyDescent="0.4">
      <c r="A54" s="42" t="str">
        <f t="shared" si="1"/>
        <v>E053</v>
      </c>
      <c r="B54" s="42" t="str">
        <f>VLOOKUP(C54,item!B:C,2,0)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97"/>
      <c r="K54" s="50" t="s">
        <v>810</v>
      </c>
      <c r="Q54" t="b">
        <v>1</v>
      </c>
    </row>
  </sheetData>
  <phoneticPr fontId="14" type="noConversion"/>
  <conditionalFormatting sqref="C1:J10">
    <cfRule type="expression" dxfId="853" priority="91">
      <formula>#REF!="程式組"</formula>
    </cfRule>
    <cfRule type="expression" dxfId="852" priority="92">
      <formula>#REF!="網路組"</formula>
    </cfRule>
  </conditionalFormatting>
  <conditionalFormatting sqref="C1:J21">
    <cfRule type="expression" dxfId="851" priority="93">
      <formula>#REF!="作業組"</formula>
    </cfRule>
    <cfRule type="expression" dxfId="850" priority="94">
      <formula>#REF!="教學組"</formula>
    </cfRule>
    <cfRule type="expression" dxfId="849" priority="95">
      <formula>#REF!="行政室"</formula>
    </cfRule>
  </conditionalFormatting>
  <conditionalFormatting sqref="C11:J21">
    <cfRule type="expression" dxfId="848" priority="96">
      <formula>#REF!="程式組"</formula>
    </cfRule>
    <cfRule type="expression" dxfId="847" priority="97">
      <formula>#REF!="網路組"</formula>
    </cfRule>
  </conditionalFormatting>
  <conditionalFormatting sqref="I1:I65522">
    <cfRule type="cellIs" dxfId="846" priority="90" stopIfTrue="1" operator="notEqual">
      <formula>#REF!</formula>
    </cfRule>
  </conditionalFormatting>
  <conditionalFormatting sqref="N1 R1:AC1 C55:E58 J55:K58 C59:K1048576 C1:K54">
    <cfRule type="expression" dxfId="845" priority="85">
      <formula>$A1="程式組"</formula>
    </cfRule>
    <cfRule type="expression" dxfId="844" priority="86">
      <formula>$A1="網路組"</formula>
    </cfRule>
    <cfRule type="expression" dxfId="843" priority="87">
      <formula>$A1="作業組"</formula>
    </cfRule>
    <cfRule type="expression" dxfId="842" priority="88">
      <formula>$A1="教學組"</formula>
    </cfRule>
    <cfRule type="expression" dxfId="841" priority="89">
      <formula>$A1="行政室"</formula>
    </cfRule>
  </conditionalFormatting>
  <conditionalFormatting sqref="N1 R1:AC1">
    <cfRule type="cellIs" dxfId="840" priority="59" stopIfTrue="1" operator="notEqual">
      <formula>#REF!</formula>
    </cfRule>
    <cfRule type="expression" dxfId="839" priority="60">
      <formula>#REF!="程式組"</formula>
    </cfRule>
    <cfRule type="expression" dxfId="838" priority="61">
      <formula>#REF!="網路組"</formula>
    </cfRule>
    <cfRule type="expression" dxfId="837" priority="62">
      <formula>#REF!="作業組"</formula>
    </cfRule>
    <cfRule type="expression" dxfId="836" priority="63">
      <formula>#REF!="教學組"</formula>
    </cfRule>
    <cfRule type="expression" dxfId="835" priority="64">
      <formula>#REF!="行政室"</formula>
    </cfRule>
  </conditionalFormatting>
  <conditionalFormatting sqref="N1">
    <cfRule type="expression" dxfId="834" priority="38">
      <formula>#REF!="程式組"</formula>
    </cfRule>
    <cfRule type="expression" dxfId="833" priority="39">
      <formula>#REF!="網路組"</formula>
    </cfRule>
    <cfRule type="expression" dxfId="832" priority="40">
      <formula>#REF!="作業組"</formula>
    </cfRule>
    <cfRule type="expression" dxfId="831" priority="41">
      <formula>#REF!="教學組"</formula>
    </cfRule>
    <cfRule type="expression" dxfId="830" priority="42">
      <formula>#REF!="行政室"</formula>
    </cfRule>
  </conditionalFormatting>
  <conditionalFormatting sqref="R9">
    <cfRule type="cellIs" dxfId="829" priority="22" stopIfTrue="1" operator="notEqual">
      <formula>#REF!</formula>
    </cfRule>
    <cfRule type="expression" dxfId="828" priority="23">
      <formula>#REF!="程式組"</formula>
    </cfRule>
    <cfRule type="expression" dxfId="827" priority="24">
      <formula>#REF!="網路組"</formula>
    </cfRule>
    <cfRule type="expression" dxfId="826" priority="25">
      <formula>#REF!="作業組"</formula>
    </cfRule>
    <cfRule type="expression" dxfId="825" priority="26">
      <formula>#REF!="教學組"</formula>
    </cfRule>
    <cfRule type="expression" dxfId="824" priority="27">
      <formula>#REF!="行政室"</formula>
    </cfRule>
    <cfRule type="expression" dxfId="823" priority="28">
      <formula>$A9="程式組"</formula>
    </cfRule>
    <cfRule type="expression" dxfId="822" priority="29">
      <formula>$A9="網路組"</formula>
    </cfRule>
    <cfRule type="expression" dxfId="821" priority="30">
      <formula>$A9="作業組"</formula>
    </cfRule>
    <cfRule type="expression" dxfId="820" priority="31">
      <formula>$A9="教學組"</formula>
    </cfRule>
    <cfRule type="expression" dxfId="819" priority="32">
      <formula>$A9="行政室"</formula>
    </cfRule>
  </conditionalFormatting>
  <conditionalFormatting sqref="S12:AC12">
    <cfRule type="cellIs" dxfId="818" priority="6" stopIfTrue="1" operator="notEqual">
      <formula>#REF!</formula>
    </cfRule>
    <cfRule type="expression" dxfId="817" priority="7">
      <formula>#REF!="程式組"</formula>
    </cfRule>
    <cfRule type="expression" dxfId="816" priority="8">
      <formula>#REF!="網路組"</formula>
    </cfRule>
    <cfRule type="expression" dxfId="815" priority="9">
      <formula>#REF!="作業組"</formula>
    </cfRule>
    <cfRule type="expression" dxfId="814" priority="10">
      <formula>#REF!="教學組"</formula>
    </cfRule>
    <cfRule type="expression" dxfId="813" priority="11">
      <formula>#REF!="行政室"</formula>
    </cfRule>
    <cfRule type="expression" dxfId="812" priority="17">
      <formula>$A12="程式組"</formula>
    </cfRule>
    <cfRule type="expression" dxfId="811" priority="18">
      <formula>$A12="網路組"</formula>
    </cfRule>
    <cfRule type="expression" dxfId="810" priority="19">
      <formula>$A12="作業組"</formula>
    </cfRule>
    <cfRule type="expression" dxfId="809" priority="20">
      <formula>$A12="教學組"</formula>
    </cfRule>
    <cfRule type="expression" dxfId="808" priority="21">
      <formula>$A12="行政室"</formula>
    </cfRule>
  </conditionalFormatting>
  <conditionalFormatting sqref="E35">
    <cfRule type="expression" dxfId="807" priority="1">
      <formula>#REF!="作業組"</formula>
    </cfRule>
    <cfRule type="expression" dxfId="806" priority="2">
      <formula>#REF!="教學組"</formula>
    </cfRule>
    <cfRule type="expression" dxfId="805" priority="3">
      <formula>#REF!="行政室"</formula>
    </cfRule>
  </conditionalFormatting>
  <conditionalFormatting sqref="E35">
    <cfRule type="expression" dxfId="804" priority="4">
      <formula>#REF!="程式組"</formula>
    </cfRule>
    <cfRule type="expression" dxfId="803" priority="5">
      <formula>#REF!="網路組"</formula>
    </cfRule>
  </conditionalFormatting>
  <dataValidations count="1">
    <dataValidation type="list" allowBlank="1" showInputMessage="1" showErrorMessage="1" sqref="U2 N2 U13" xr:uid="{0585FC71-92C0-481C-9D7C-A711E523142E}">
      <formula1>OFFSET(組別,1,0,COUNTA(組別)-1,1)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3917-D5E6-4E95-9570-4A64BD9FBC04}">
  <sheetPr>
    <tabColor theme="7" tint="0.59999389629810485"/>
  </sheetPr>
  <dimension ref="A1:AC54"/>
  <sheetViews>
    <sheetView workbookViewId="0">
      <selection activeCell="S9" sqref="S9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9.4140625" style="99" customWidth="1"/>
    <col min="4" max="4" width="8.832031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5.5" style="100" bestFit="1" customWidth="1"/>
    <col min="11" max="11" width="4.33203125" style="23" customWidth="1"/>
    <col min="15" max="15" width="13.83203125" customWidth="1"/>
    <col min="16" max="16" width="21" customWidth="1"/>
    <col min="17" max="17" width="10.1640625" bestFit="1" customWidth="1"/>
    <col min="18" max="18" width="11.08203125" bestFit="1" customWidth="1"/>
    <col min="19" max="19" width="9.33203125" customWidth="1"/>
    <col min="20" max="20" width="6.08203125" customWidth="1"/>
    <col min="23" max="23" width="8.5" customWidth="1"/>
    <col min="24" max="24" width="7.33203125" customWidth="1"/>
    <col min="25" max="25" width="7.83203125" customWidth="1"/>
    <col min="26" max="26" width="7.6640625" customWidth="1"/>
    <col min="27" max="27" width="10.5" customWidth="1"/>
    <col min="28" max="28" width="5.83203125" bestFit="1" customWidth="1"/>
    <col min="29" max="29" width="3.58203125" bestFit="1" customWidth="1"/>
  </cols>
  <sheetData>
    <row r="1" spans="1:29" ht="36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N1" s="116" t="s">
        <v>623</v>
      </c>
      <c r="O1" t="s">
        <v>824</v>
      </c>
      <c r="P1" s="127" t="s">
        <v>5</v>
      </c>
      <c r="Q1" s="125" t="s">
        <v>823</v>
      </c>
      <c r="R1" s="35" t="s">
        <v>822</v>
      </c>
      <c r="S1" s="33" t="str">
        <f>A1</f>
        <v>ID</v>
      </c>
      <c r="T1" s="33" t="str">
        <f t="shared" ref="T1:AC1" si="0">B1</f>
        <v>Code_dpt</v>
      </c>
      <c r="U1" s="33" t="str">
        <f t="shared" si="0"/>
        <v>組別</v>
      </c>
      <c r="V1" s="33" t="str">
        <f t="shared" si="0"/>
        <v>姓名</v>
      </c>
      <c r="W1" s="33" t="str">
        <f t="shared" si="0"/>
        <v>職稱</v>
      </c>
      <c r="X1" s="33" t="str">
        <f t="shared" si="0"/>
        <v>電話</v>
      </c>
      <c r="Y1" s="33" t="str">
        <f t="shared" si="0"/>
        <v>email</v>
      </c>
      <c r="Z1" s="33" t="str">
        <f t="shared" si="0"/>
        <v>辦公室</v>
      </c>
      <c r="AA1" s="33" t="str">
        <f t="shared" si="0"/>
        <v>到職日期</v>
      </c>
      <c r="AB1" s="33" t="str">
        <f t="shared" si="0"/>
        <v>備註</v>
      </c>
      <c r="AC1" s="33" t="str">
        <f t="shared" si="0"/>
        <v>NO</v>
      </c>
    </row>
    <row r="2" spans="1:29" ht="46.3" x14ac:dyDescent="0.4">
      <c r="A2" s="42" t="str">
        <f>B2&amp;TEXT(ROW()-1,"000")</f>
        <v>A001</v>
      </c>
      <c r="B2" s="42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N2" t="s">
        <v>632</v>
      </c>
      <c r="O2" s="126" t="s">
        <v>821</v>
      </c>
      <c r="P2" s="114"/>
      <c r="Q2" t="b" cm="1">
        <f t="array" ref="Q2:Q54">MONTH(I2:I54)=5</f>
        <v>0</v>
      </c>
      <c r="R2" t="e" cm="1" vm="1">
        <f t="array" aca="1" ref="R2" ca="1">_xlfn._xlws.FILTER(staff,MONTH(I2:I54)=MONTH(TODAY()),"本月無資料")</f>
        <v>#VALUE!</v>
      </c>
      <c r="S2" t="str" cm="1">
        <f t="array" aca="1" ref="S2:AC6" ca="1">_xlfn._xlws.FILTER(staff,MONTH(I2:I54)=MONTH(TODAY()),"本月無資料")</f>
        <v>A004</v>
      </c>
      <c r="T2" t="str">
        <f ca="1"/>
        <v>A</v>
      </c>
      <c r="U2" t="str">
        <f ca="1"/>
        <v>行政室</v>
      </c>
      <c r="V2" t="str">
        <f ca="1"/>
        <v>陳玟諭</v>
      </c>
      <c r="W2" t="str">
        <f ca="1"/>
        <v>副理</v>
      </c>
      <c r="X2">
        <f ca="1"/>
        <v>65048</v>
      </c>
      <c r="Y2" t="str">
        <f ca="1"/>
        <v>wenyuchen@ntu.edu.tw</v>
      </c>
      <c r="Z2">
        <f ca="1"/>
        <v>216</v>
      </c>
      <c r="AA2" s="128">
        <f ca="1"/>
        <v>35886</v>
      </c>
      <c r="AB2">
        <f ca="1"/>
        <v>0</v>
      </c>
      <c r="AC2" t="str">
        <f ca="1"/>
        <v>04</v>
      </c>
    </row>
    <row r="3" spans="1:29" x14ac:dyDescent="0.4">
      <c r="A3" s="42" t="str">
        <f t="shared" ref="A3:A54" si="1">B3&amp;TEXT(ROW()-1,"000")</f>
        <v>A002</v>
      </c>
      <c r="B3" s="42" t="str">
        <f>VLOOKUP(C3,item!B:C,2,0)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56"/>
      <c r="K3" s="50" t="s">
        <v>643</v>
      </c>
      <c r="Q3" t="b">
        <v>0</v>
      </c>
      <c r="S3" t="str">
        <f ca="1"/>
        <v>C016</v>
      </c>
      <c r="T3" t="str">
        <f ca="1"/>
        <v>C</v>
      </c>
      <c r="U3" t="str">
        <f ca="1"/>
        <v>作業組</v>
      </c>
      <c r="V3" t="str">
        <f ca="1"/>
        <v>高鈺盛</v>
      </c>
      <c r="W3" t="str">
        <f ca="1"/>
        <v>幹事</v>
      </c>
      <c r="X3">
        <f ca="1"/>
        <v>69869</v>
      </c>
      <c r="Y3" t="str">
        <f ca="1"/>
        <v>yusengao@ntu.edu.tw</v>
      </c>
      <c r="Z3">
        <f ca="1"/>
        <v>316</v>
      </c>
      <c r="AA3" s="128">
        <f ca="1"/>
        <v>36251</v>
      </c>
      <c r="AB3">
        <f ca="1"/>
        <v>0</v>
      </c>
      <c r="AC3" t="str">
        <f ca="1"/>
        <v>16</v>
      </c>
    </row>
    <row r="4" spans="1:29" x14ac:dyDescent="0.4">
      <c r="A4" s="42" t="str">
        <f t="shared" si="1"/>
        <v>A003</v>
      </c>
      <c r="B4" s="42" t="str">
        <f>VLOOKUP(C4,item!B:C,2,0)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56"/>
      <c r="K4" s="50" t="s">
        <v>647</v>
      </c>
      <c r="Q4" t="b">
        <v>0</v>
      </c>
      <c r="S4" t="str">
        <f ca="1"/>
        <v>D028</v>
      </c>
      <c r="T4" t="str">
        <f ca="1"/>
        <v>D</v>
      </c>
      <c r="U4" t="str">
        <f ca="1"/>
        <v>網路組</v>
      </c>
      <c r="V4" t="str">
        <f ca="1"/>
        <v>江培文</v>
      </c>
      <c r="W4" t="str">
        <f ca="1"/>
        <v>研究助理</v>
      </c>
      <c r="X4">
        <f ca="1"/>
        <v>65513</v>
      </c>
      <c r="Y4" t="str">
        <f ca="1"/>
        <v>peiwen@ntu.edu.tw</v>
      </c>
      <c r="Z4">
        <f ca="1"/>
        <v>411</v>
      </c>
      <c r="AA4" s="128">
        <f ca="1"/>
        <v>36617</v>
      </c>
      <c r="AB4">
        <f ca="1"/>
        <v>0</v>
      </c>
      <c r="AC4" t="str">
        <f ca="1"/>
        <v>28</v>
      </c>
    </row>
    <row r="5" spans="1:29" x14ac:dyDescent="0.4">
      <c r="A5" s="42" t="str">
        <f t="shared" si="1"/>
        <v>A004</v>
      </c>
      <c r="B5" s="42" t="str">
        <f>VLOOKUP(C5,item!B:C,2,0)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56"/>
      <c r="K5" s="50" t="s">
        <v>651</v>
      </c>
      <c r="Q5" t="b">
        <v>0</v>
      </c>
      <c r="S5" t="str">
        <f ca="1"/>
        <v>E040</v>
      </c>
      <c r="T5" t="str">
        <f ca="1"/>
        <v>E</v>
      </c>
      <c r="U5" t="str">
        <f ca="1"/>
        <v>程式組</v>
      </c>
      <c r="V5" t="str">
        <f ca="1"/>
        <v>洪嘉駿</v>
      </c>
      <c r="W5" t="str">
        <f ca="1"/>
        <v>幹事</v>
      </c>
      <c r="X5">
        <f ca="1"/>
        <v>65517</v>
      </c>
      <c r="Y5" t="str">
        <f ca="1"/>
        <v>jiajiunhung@ntu.edu.tw</v>
      </c>
      <c r="Z5">
        <f ca="1"/>
        <v>311</v>
      </c>
      <c r="AA5" s="128">
        <f ca="1"/>
        <v>36982</v>
      </c>
      <c r="AB5">
        <f ca="1"/>
        <v>0</v>
      </c>
      <c r="AC5" t="str">
        <f ca="1"/>
        <v>40</v>
      </c>
    </row>
    <row r="6" spans="1:29" x14ac:dyDescent="0.4">
      <c r="A6" s="42" t="str">
        <f t="shared" si="1"/>
        <v>A005</v>
      </c>
      <c r="B6" s="42" t="str">
        <f>VLOOKUP(C6,item!B:C,2,0)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62"/>
      <c r="K6" s="50" t="s">
        <v>655</v>
      </c>
      <c r="Q6" s="115" t="b">
        <v>1</v>
      </c>
      <c r="S6" t="str">
        <f ca="1"/>
        <v>E052</v>
      </c>
      <c r="T6" t="str">
        <f ca="1"/>
        <v>E</v>
      </c>
      <c r="U6" t="str">
        <f ca="1"/>
        <v>程式組</v>
      </c>
      <c r="V6" t="str">
        <f ca="1"/>
        <v>陳永樵</v>
      </c>
      <c r="W6" t="str">
        <f ca="1"/>
        <v>系統分析設計師</v>
      </c>
      <c r="X6">
        <f ca="1"/>
        <v>65015</v>
      </c>
      <c r="Y6" t="str">
        <f ca="1"/>
        <v>chenyc@ntu.edu.tw</v>
      </c>
      <c r="Z6">
        <f ca="1"/>
        <v>407</v>
      </c>
      <c r="AA6" s="128">
        <f ca="1"/>
        <v>37347</v>
      </c>
      <c r="AB6">
        <f ca="1"/>
        <v>0</v>
      </c>
      <c r="AC6" t="str">
        <f ca="1"/>
        <v>52</v>
      </c>
    </row>
    <row r="7" spans="1:29" x14ac:dyDescent="0.4">
      <c r="A7" s="42" t="str">
        <f t="shared" si="1"/>
        <v>B006</v>
      </c>
      <c r="B7" s="42" t="str">
        <f>VLOOKUP(C7,item!B:C,2,0)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62"/>
      <c r="K7" s="50" t="s">
        <v>662</v>
      </c>
      <c r="Q7" t="b">
        <v>0</v>
      </c>
    </row>
    <row r="8" spans="1:29" x14ac:dyDescent="0.4">
      <c r="A8" s="42" t="str">
        <f t="shared" si="1"/>
        <v>B007</v>
      </c>
      <c r="B8" s="42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Q8" t="b">
        <v>0</v>
      </c>
    </row>
    <row r="9" spans="1:29" x14ac:dyDescent="0.4">
      <c r="A9" s="42" t="str">
        <f t="shared" si="1"/>
        <v>B008</v>
      </c>
      <c r="B9" s="42" t="str">
        <f>VLOOKUP(C9,item!B:C,2,0)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56"/>
      <c r="K9" s="50" t="s">
        <v>669</v>
      </c>
      <c r="Q9" t="b">
        <v>0</v>
      </c>
      <c r="R9" s="130" t="s">
        <v>822</v>
      </c>
      <c r="S9" s="129">
        <v>1</v>
      </c>
    </row>
    <row r="10" spans="1:29" x14ac:dyDescent="0.4">
      <c r="A10" s="42" t="str">
        <f t="shared" si="1"/>
        <v>B009</v>
      </c>
      <c r="B10" s="42" t="str">
        <f>VLOOKUP(C10,item!B:C,2,0)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68"/>
      <c r="K10" s="50" t="s">
        <v>672</v>
      </c>
      <c r="Q10" t="b">
        <v>0</v>
      </c>
      <c r="R10" s="114" t="s">
        <v>826</v>
      </c>
    </row>
    <row r="11" spans="1:29" ht="45" x14ac:dyDescent="0.4">
      <c r="A11" s="42" t="str">
        <f t="shared" si="1"/>
        <v>C010</v>
      </c>
      <c r="B11" s="42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Q11" t="b">
        <v>0</v>
      </c>
    </row>
    <row r="12" spans="1:29" ht="30" x14ac:dyDescent="0.4">
      <c r="A12" s="42" t="str">
        <f t="shared" si="1"/>
        <v>C011</v>
      </c>
      <c r="B12" s="42" t="str">
        <f>VLOOKUP(C12,item!B:C,2,0)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56"/>
      <c r="K12" s="50" t="s">
        <v>679</v>
      </c>
      <c r="Q12" t="b">
        <v>0</v>
      </c>
      <c r="S12" s="33" t="s">
        <v>275</v>
      </c>
      <c r="T12" s="33" t="s">
        <v>827</v>
      </c>
      <c r="U12" s="33" t="s">
        <v>623</v>
      </c>
      <c r="V12" s="33" t="s">
        <v>624</v>
      </c>
      <c r="W12" s="33" t="s">
        <v>625</v>
      </c>
      <c r="X12" s="33" t="s">
        <v>828</v>
      </c>
      <c r="Y12" s="33" t="s">
        <v>829</v>
      </c>
      <c r="Z12" s="33" t="s">
        <v>830</v>
      </c>
      <c r="AA12" s="33" t="s">
        <v>831</v>
      </c>
      <c r="AB12" s="33" t="s">
        <v>832</v>
      </c>
      <c r="AC12" s="33" t="s">
        <v>434</v>
      </c>
    </row>
    <row r="13" spans="1:29" x14ac:dyDescent="0.4">
      <c r="A13" s="42" t="str">
        <f t="shared" si="1"/>
        <v>C012</v>
      </c>
      <c r="B13" s="42" t="str">
        <f>VLOOKUP(C13,item!B:C,2,0)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56"/>
      <c r="K13" s="50" t="s">
        <v>682</v>
      </c>
      <c r="Q13" t="b">
        <v>0</v>
      </c>
      <c r="S13" t="str" cm="1">
        <f t="array" ref="S13:AC17">_xlfn._xlws.FILTER(staff,MONTH(I2:I54)=S9,"本月無資料")</f>
        <v>A001</v>
      </c>
      <c r="T13" t="str">
        <v>A</v>
      </c>
      <c r="U13" t="str">
        <v>行政室</v>
      </c>
      <c r="V13" t="str">
        <v>顏嗣鈞</v>
      </c>
      <c r="W13" t="str">
        <v>主任</v>
      </c>
      <c r="X13">
        <v>65001</v>
      </c>
      <c r="Y13" t="str">
        <v>hcyen@ntu.edu.tw</v>
      </c>
      <c r="Z13">
        <v>220</v>
      </c>
      <c r="AA13" s="128">
        <v>35796</v>
      </c>
      <c r="AB13">
        <v>0</v>
      </c>
      <c r="AC13" t="str">
        <v>01</v>
      </c>
    </row>
    <row r="14" spans="1:29" x14ac:dyDescent="0.4">
      <c r="A14" s="42" t="str">
        <f t="shared" si="1"/>
        <v>C013</v>
      </c>
      <c r="B14" s="42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72"/>
      <c r="K14" s="50" t="s">
        <v>685</v>
      </c>
      <c r="Q14" t="b">
        <v>0</v>
      </c>
      <c r="S14" t="str">
        <v>C013</v>
      </c>
      <c r="T14" t="str">
        <v>C</v>
      </c>
      <c r="U14" t="str">
        <v>作業組</v>
      </c>
      <c r="V14" t="str">
        <v>張素芬</v>
      </c>
      <c r="W14" t="str">
        <v>幹事</v>
      </c>
      <c r="X14">
        <v>65059</v>
      </c>
      <c r="Y14" t="str">
        <v>michellecheung@ntu.edu.tw</v>
      </c>
      <c r="Z14">
        <v>109</v>
      </c>
      <c r="AA14" s="128">
        <v>36161</v>
      </c>
      <c r="AB14">
        <v>0</v>
      </c>
      <c r="AC14" t="str">
        <v>13</v>
      </c>
    </row>
    <row r="15" spans="1:29" ht="16.75" x14ac:dyDescent="0.45">
      <c r="A15" s="42" t="str">
        <f t="shared" si="1"/>
        <v>C014</v>
      </c>
      <c r="B15" s="42" t="str">
        <f>VLOOKUP(C15,item!B:C,2,0)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56"/>
      <c r="K15" s="50" t="s">
        <v>688</v>
      </c>
      <c r="Q15" t="b">
        <v>0</v>
      </c>
      <c r="S15" t="str">
        <v>D025</v>
      </c>
      <c r="T15" t="str">
        <v>D</v>
      </c>
      <c r="U15" t="str">
        <v>網路組</v>
      </c>
      <c r="V15" t="str">
        <v>游子興</v>
      </c>
      <c r="W15" t="str">
        <v>副理</v>
      </c>
      <c r="X15">
        <v>65008</v>
      </c>
      <c r="Y15" t="str">
        <v>davisyou@ntu.edu.tw</v>
      </c>
      <c r="Z15">
        <v>411</v>
      </c>
      <c r="AA15" s="128">
        <v>36526</v>
      </c>
      <c r="AB15">
        <v>0</v>
      </c>
      <c r="AC15" t="str">
        <v>25</v>
      </c>
    </row>
    <row r="16" spans="1:29" x14ac:dyDescent="0.4">
      <c r="A16" s="42" t="str">
        <f t="shared" si="1"/>
        <v>C015</v>
      </c>
      <c r="B16" s="42" t="str">
        <f>VLOOKUP(C16,item!B:C,2,0)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56"/>
      <c r="K16" s="50" t="s">
        <v>691</v>
      </c>
      <c r="Q16" t="b">
        <v>0</v>
      </c>
      <c r="S16" t="str">
        <v>E037</v>
      </c>
      <c r="T16" t="str">
        <v>E</v>
      </c>
      <c r="U16" t="str">
        <v>程式組</v>
      </c>
      <c r="V16">
        <v>0</v>
      </c>
      <c r="W16">
        <v>0</v>
      </c>
      <c r="X16">
        <v>65040</v>
      </c>
      <c r="Y16">
        <v>0</v>
      </c>
      <c r="Z16">
        <v>200</v>
      </c>
      <c r="AA16" s="128">
        <v>36892</v>
      </c>
      <c r="AB16">
        <v>0</v>
      </c>
      <c r="AC16" t="str">
        <v>37</v>
      </c>
    </row>
    <row r="17" spans="1:29" x14ac:dyDescent="0.4">
      <c r="A17" s="42" t="str">
        <f t="shared" si="1"/>
        <v>C016</v>
      </c>
      <c r="B17" s="42" t="str">
        <f>VLOOKUP(C17,item!B:C,2,0)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56"/>
      <c r="K17" s="50" t="s">
        <v>694</v>
      </c>
      <c r="Q17" t="b">
        <v>0</v>
      </c>
      <c r="S17" t="str">
        <v>E049</v>
      </c>
      <c r="T17" t="str">
        <v>E</v>
      </c>
      <c r="U17" t="str">
        <v>程式組</v>
      </c>
      <c r="V17" t="str">
        <v>葉崇志</v>
      </c>
      <c r="W17" t="str">
        <v>幹事</v>
      </c>
      <c r="X17">
        <v>65056</v>
      </c>
      <c r="Y17" t="str">
        <v>chungchih@ntu.edu.tw</v>
      </c>
      <c r="Z17">
        <v>316</v>
      </c>
      <c r="AA17" s="128">
        <v>37257</v>
      </c>
      <c r="AB17">
        <v>0</v>
      </c>
      <c r="AC17" t="str">
        <v>49</v>
      </c>
    </row>
    <row r="18" spans="1:29" x14ac:dyDescent="0.4">
      <c r="A18" s="42" t="str">
        <f t="shared" si="1"/>
        <v>C017</v>
      </c>
      <c r="B18" s="42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Q18" t="b">
        <v>1</v>
      </c>
    </row>
    <row r="19" spans="1:29" x14ac:dyDescent="0.4">
      <c r="A19" s="42" t="str">
        <f t="shared" si="1"/>
        <v>C018</v>
      </c>
      <c r="B19" s="42" t="str">
        <f>VLOOKUP(C19,item!B:C,2,0)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56"/>
      <c r="K19" s="50" t="s">
        <v>700</v>
      </c>
      <c r="Q19" t="b">
        <v>0</v>
      </c>
    </row>
    <row r="20" spans="1:29" x14ac:dyDescent="0.4">
      <c r="A20" s="42" t="str">
        <f t="shared" si="1"/>
        <v>C019</v>
      </c>
      <c r="B20" s="42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Q20" t="b">
        <v>0</v>
      </c>
    </row>
    <row r="21" spans="1:29" x14ac:dyDescent="0.4">
      <c r="A21" s="42" t="str">
        <f t="shared" si="1"/>
        <v>C020</v>
      </c>
      <c r="B21" s="42" t="str">
        <f>VLOOKUP(C21,item!B:C,2,0)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56"/>
      <c r="K21" s="50" t="s">
        <v>706</v>
      </c>
      <c r="Q21" t="b">
        <v>0</v>
      </c>
    </row>
    <row r="22" spans="1:29" x14ac:dyDescent="0.4">
      <c r="A22" s="42" t="str">
        <f t="shared" si="1"/>
        <v>D021</v>
      </c>
      <c r="B22" s="42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Q22" t="b">
        <v>0</v>
      </c>
    </row>
    <row r="23" spans="1:29" x14ac:dyDescent="0.4">
      <c r="A23" s="42" t="str">
        <f t="shared" si="1"/>
        <v>D022</v>
      </c>
      <c r="B23" s="42" t="str">
        <f>VLOOKUP(C23,item!B:C,2,0)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56"/>
      <c r="K23" s="50" t="s">
        <v>714</v>
      </c>
      <c r="Q23" t="b">
        <v>0</v>
      </c>
    </row>
    <row r="24" spans="1:29" x14ac:dyDescent="0.4">
      <c r="A24" s="42" t="str">
        <f t="shared" si="1"/>
        <v>D023</v>
      </c>
      <c r="B24" s="42" t="str">
        <f>VLOOKUP(C24,item!B:C,2,0)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56"/>
      <c r="K24" s="50" t="s">
        <v>717</v>
      </c>
      <c r="Q24" t="b">
        <v>0</v>
      </c>
    </row>
    <row r="25" spans="1:29" ht="16.75" x14ac:dyDescent="0.45">
      <c r="A25" s="42" t="str">
        <f t="shared" si="1"/>
        <v>D024</v>
      </c>
      <c r="B25" s="42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56"/>
      <c r="K25" s="50" t="s">
        <v>721</v>
      </c>
      <c r="Q25" t="b">
        <v>0</v>
      </c>
    </row>
    <row r="26" spans="1:29" x14ac:dyDescent="0.4">
      <c r="A26" s="42" t="str">
        <f t="shared" si="1"/>
        <v>D025</v>
      </c>
      <c r="B26" s="42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87"/>
      <c r="K26" s="50" t="s">
        <v>724</v>
      </c>
      <c r="Q26" t="b">
        <v>0</v>
      </c>
    </row>
    <row r="27" spans="1:29" ht="16.75" x14ac:dyDescent="0.45">
      <c r="A27" s="42" t="str">
        <f t="shared" si="1"/>
        <v>D026</v>
      </c>
      <c r="B27" s="42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56"/>
      <c r="K27" s="50" t="s">
        <v>727</v>
      </c>
      <c r="Q27" t="b">
        <v>0</v>
      </c>
    </row>
    <row r="28" spans="1:29" ht="16.75" x14ac:dyDescent="0.45">
      <c r="A28" s="42" t="str">
        <f t="shared" si="1"/>
        <v>D027</v>
      </c>
      <c r="B28" s="42" t="str">
        <f>VLOOKUP(C28,item!B:C,2,0)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56"/>
      <c r="K28" s="50" t="s">
        <v>731</v>
      </c>
      <c r="Q28" t="b">
        <v>0</v>
      </c>
    </row>
    <row r="29" spans="1:29" ht="16.75" x14ac:dyDescent="0.45">
      <c r="A29" s="42" t="str">
        <f t="shared" si="1"/>
        <v>D028</v>
      </c>
      <c r="B29" s="42" t="str">
        <f>VLOOKUP(C29,item!B:C,2,0)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56"/>
      <c r="K29" s="50" t="s">
        <v>734</v>
      </c>
      <c r="Q29" t="b">
        <v>0</v>
      </c>
    </row>
    <row r="30" spans="1:29" ht="30" x14ac:dyDescent="0.4">
      <c r="A30" s="42" t="str">
        <f t="shared" si="1"/>
        <v>D029</v>
      </c>
      <c r="B30" s="42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Q30" t="b">
        <v>1</v>
      </c>
    </row>
    <row r="31" spans="1:29" ht="45" x14ac:dyDescent="0.4">
      <c r="A31" s="42" t="str">
        <f t="shared" si="1"/>
        <v>D030</v>
      </c>
      <c r="B31" s="42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Q31" t="b">
        <v>0</v>
      </c>
    </row>
    <row r="32" spans="1:29" ht="45" x14ac:dyDescent="0.4">
      <c r="A32" s="42" t="str">
        <f t="shared" si="1"/>
        <v>D031</v>
      </c>
      <c r="B32" s="42" t="str">
        <f>VLOOKUP(C32,item!B:C,2,0)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59"/>
      <c r="K32" s="50" t="s">
        <v>747</v>
      </c>
      <c r="Q32" t="b">
        <v>0</v>
      </c>
    </row>
    <row r="33" spans="1:17" ht="45" x14ac:dyDescent="0.4">
      <c r="A33" s="42" t="str">
        <f t="shared" si="1"/>
        <v>D032</v>
      </c>
      <c r="B33" s="42" t="str">
        <f>VLOOKUP(C33,item!B:C,2,0)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56"/>
      <c r="K33" s="50" t="s">
        <v>750</v>
      </c>
      <c r="Q33" t="b">
        <v>0</v>
      </c>
    </row>
    <row r="34" spans="1:17" x14ac:dyDescent="0.4">
      <c r="A34" s="42" t="str">
        <f t="shared" si="1"/>
        <v>E033</v>
      </c>
      <c r="B34" s="42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Q34" t="b">
        <v>0</v>
      </c>
    </row>
    <row r="35" spans="1:17" x14ac:dyDescent="0.4">
      <c r="A35" s="42" t="str">
        <f t="shared" si="1"/>
        <v>E034</v>
      </c>
      <c r="B35" s="42" t="str">
        <f>VLOOKUP(C35,item!B:C,2,0)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56"/>
      <c r="K35" s="50" t="s">
        <v>757</v>
      </c>
      <c r="Q35" t="b">
        <v>0</v>
      </c>
    </row>
    <row r="36" spans="1:17" x14ac:dyDescent="0.4">
      <c r="A36" s="42" t="str">
        <f t="shared" si="1"/>
        <v>E035</v>
      </c>
      <c r="B36" s="42" t="str">
        <f>VLOOKUP(C36,item!B:C,2,0)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62"/>
      <c r="K36" s="50" t="s">
        <v>760</v>
      </c>
      <c r="Q36" t="b">
        <v>0</v>
      </c>
    </row>
    <row r="37" spans="1:17" x14ac:dyDescent="0.4">
      <c r="A37" s="42" t="str">
        <f t="shared" si="1"/>
        <v>E036</v>
      </c>
      <c r="B37" s="42" t="str">
        <f>VLOOKUP(C37,item!B:C,2,0)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56"/>
      <c r="K37" s="50" t="s">
        <v>763</v>
      </c>
      <c r="Q37" t="b">
        <v>0</v>
      </c>
    </row>
    <row r="38" spans="1:17" x14ac:dyDescent="0.4">
      <c r="A38" s="42" t="str">
        <f t="shared" si="1"/>
        <v>E037</v>
      </c>
      <c r="B38" s="42" t="str">
        <f>VLOOKUP(C38,item!B:C,2,0)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56"/>
      <c r="K38" s="50" t="s">
        <v>764</v>
      </c>
      <c r="Q38" t="b">
        <v>0</v>
      </c>
    </row>
    <row r="39" spans="1:17" x14ac:dyDescent="0.4">
      <c r="A39" s="42" t="str">
        <f t="shared" si="1"/>
        <v>E038</v>
      </c>
      <c r="B39" s="42" t="str">
        <f>VLOOKUP(C39,item!B:C,2,0)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56"/>
      <c r="K39" s="50" t="s">
        <v>768</v>
      </c>
      <c r="Q39" t="b">
        <v>0</v>
      </c>
    </row>
    <row r="40" spans="1:17" x14ac:dyDescent="0.4">
      <c r="A40" s="42" t="str">
        <f t="shared" si="1"/>
        <v>E039</v>
      </c>
      <c r="B40" s="42" t="str">
        <f>VLOOKUP(C40,item!B:C,2,0)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72"/>
      <c r="K40" s="50" t="s">
        <v>769</v>
      </c>
      <c r="Q40" t="b">
        <v>0</v>
      </c>
    </row>
    <row r="41" spans="1:17" x14ac:dyDescent="0.4">
      <c r="A41" s="42" t="str">
        <f t="shared" si="1"/>
        <v>E040</v>
      </c>
      <c r="B41" s="42" t="str">
        <f>VLOOKUP(C41,item!B:C,2,0)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56"/>
      <c r="K41" s="50" t="s">
        <v>772</v>
      </c>
      <c r="Q41" t="b">
        <v>0</v>
      </c>
    </row>
    <row r="42" spans="1:17" x14ac:dyDescent="0.4">
      <c r="A42" s="42" t="str">
        <f t="shared" si="1"/>
        <v>E041</v>
      </c>
      <c r="B42" s="42" t="str">
        <f>VLOOKUP(C42,item!B:C,2,0)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56"/>
      <c r="K42" s="50" t="s">
        <v>775</v>
      </c>
      <c r="Q42" t="b">
        <v>1</v>
      </c>
    </row>
    <row r="43" spans="1:17" x14ac:dyDescent="0.4">
      <c r="A43" s="42" t="str">
        <f t="shared" si="1"/>
        <v>E042</v>
      </c>
      <c r="B43" s="42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Q43" t="b">
        <v>0</v>
      </c>
    </row>
    <row r="44" spans="1:17" x14ac:dyDescent="0.4">
      <c r="A44" s="42" t="str">
        <f t="shared" si="1"/>
        <v>E043</v>
      </c>
      <c r="B44" s="42" t="str">
        <f>VLOOKUP(C44,item!B:C,2,0)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72"/>
      <c r="K44" s="50" t="s">
        <v>781</v>
      </c>
      <c r="Q44" t="b">
        <v>0</v>
      </c>
    </row>
    <row r="45" spans="1:17" x14ac:dyDescent="0.4">
      <c r="A45" s="42" t="str">
        <f t="shared" si="1"/>
        <v>E044</v>
      </c>
      <c r="B45" s="42" t="str">
        <f>VLOOKUP(C45,item!B:C,2,0)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56"/>
      <c r="K45" s="50" t="s">
        <v>784</v>
      </c>
      <c r="Q45" t="b">
        <v>0</v>
      </c>
    </row>
    <row r="46" spans="1:17" x14ac:dyDescent="0.4">
      <c r="A46" s="42" t="str">
        <f t="shared" si="1"/>
        <v>E045</v>
      </c>
      <c r="B46" s="42" t="str">
        <f>VLOOKUP(C46,item!B:C,2,0)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56"/>
      <c r="K46" s="50" t="s">
        <v>787</v>
      </c>
      <c r="Q46" t="b">
        <v>0</v>
      </c>
    </row>
    <row r="47" spans="1:17" x14ac:dyDescent="0.4">
      <c r="A47" s="42" t="str">
        <f t="shared" si="1"/>
        <v>E046</v>
      </c>
      <c r="B47" s="42" t="str">
        <f>VLOOKUP(C47,item!B:C,2,0)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56"/>
      <c r="K47" s="50" t="s">
        <v>790</v>
      </c>
      <c r="Q47" t="b">
        <v>0</v>
      </c>
    </row>
    <row r="48" spans="1:17" x14ac:dyDescent="0.4">
      <c r="A48" s="42" t="str">
        <f t="shared" si="1"/>
        <v>E047</v>
      </c>
      <c r="B48" s="42" t="str">
        <f>VLOOKUP(C48,item!B:C,2,0)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56"/>
      <c r="K48" s="50" t="s">
        <v>793</v>
      </c>
      <c r="Q48" t="b">
        <v>0</v>
      </c>
    </row>
    <row r="49" spans="1:17" x14ac:dyDescent="0.4">
      <c r="A49" s="42" t="str">
        <f t="shared" si="1"/>
        <v>E048</v>
      </c>
      <c r="B49" s="42" t="str">
        <f>VLOOKUP(C49,item!B:C,2,0)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72"/>
      <c r="K49" s="50" t="s">
        <v>794</v>
      </c>
      <c r="Q49" t="b">
        <v>0</v>
      </c>
    </row>
    <row r="50" spans="1:17" x14ac:dyDescent="0.4">
      <c r="A50" s="42" t="str">
        <f t="shared" si="1"/>
        <v>E049</v>
      </c>
      <c r="B50" s="42" t="str">
        <f>VLOOKUP(C50,item!B:C,2,0)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56"/>
      <c r="K50" s="50" t="s">
        <v>797</v>
      </c>
      <c r="Q50" t="b">
        <v>0</v>
      </c>
    </row>
    <row r="51" spans="1:17" x14ac:dyDescent="0.4">
      <c r="A51" s="42" t="str">
        <f t="shared" si="1"/>
        <v>E050</v>
      </c>
      <c r="B51" s="42" t="str">
        <f>VLOOKUP(C51,item!B:C,2,0)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62"/>
      <c r="K51" s="50" t="s">
        <v>800</v>
      </c>
      <c r="Q51" t="b">
        <v>0</v>
      </c>
    </row>
    <row r="52" spans="1:17" x14ac:dyDescent="0.4">
      <c r="A52" s="42" t="str">
        <f t="shared" si="1"/>
        <v>E051</v>
      </c>
      <c r="B52" s="42" t="str">
        <f>VLOOKUP(C52,item!B:C,2,0)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62"/>
      <c r="K52" s="50" t="s">
        <v>803</v>
      </c>
      <c r="Q52" t="b">
        <v>0</v>
      </c>
    </row>
    <row r="53" spans="1:17" ht="30" x14ac:dyDescent="0.4">
      <c r="A53" s="42" t="str">
        <f t="shared" si="1"/>
        <v>E052</v>
      </c>
      <c r="B53" s="42" t="str">
        <f>VLOOKUP(C53,item!B:C,2,0)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62"/>
      <c r="K53" s="50" t="s">
        <v>807</v>
      </c>
      <c r="Q53" t="b">
        <v>0</v>
      </c>
    </row>
    <row r="54" spans="1:17" x14ac:dyDescent="0.4">
      <c r="A54" s="42" t="str">
        <f t="shared" si="1"/>
        <v>E053</v>
      </c>
      <c r="B54" s="42" t="str">
        <f>VLOOKUP(C54,item!B:C,2,0)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97"/>
      <c r="K54" s="50" t="s">
        <v>810</v>
      </c>
      <c r="Q54" t="b">
        <v>1</v>
      </c>
    </row>
  </sheetData>
  <phoneticPr fontId="14" type="noConversion"/>
  <conditionalFormatting sqref="C1:D10 F1:J10">
    <cfRule type="expression" dxfId="802" priority="67">
      <formula>#REF!="程式組"</formula>
    </cfRule>
    <cfRule type="expression" dxfId="801" priority="68">
      <formula>#REF!="網路組"</formula>
    </cfRule>
  </conditionalFormatting>
  <conditionalFormatting sqref="C1:D21 F1:J21">
    <cfRule type="expression" dxfId="800" priority="69">
      <formula>#REF!="作業組"</formula>
    </cfRule>
    <cfRule type="expression" dxfId="799" priority="70">
      <formula>#REF!="教學組"</formula>
    </cfRule>
    <cfRule type="expression" dxfId="798" priority="71">
      <formula>#REF!="行政室"</formula>
    </cfRule>
  </conditionalFormatting>
  <conditionalFormatting sqref="C11:D21 F11:J21">
    <cfRule type="expression" dxfId="797" priority="72">
      <formula>#REF!="程式組"</formula>
    </cfRule>
    <cfRule type="expression" dxfId="796" priority="73">
      <formula>#REF!="網路組"</formula>
    </cfRule>
  </conditionalFormatting>
  <conditionalFormatting sqref="I1:I65522">
    <cfRule type="cellIs" dxfId="795" priority="66" stopIfTrue="1" operator="notEqual">
      <formula>#REF!</formula>
    </cfRule>
  </conditionalFormatting>
  <conditionalFormatting sqref="N1 R1:AC1 J55:K58 C1:D1048576 F59:K1048576 F1:K54">
    <cfRule type="expression" dxfId="794" priority="61">
      <formula>$A1="程式組"</formula>
    </cfRule>
    <cfRule type="expression" dxfId="793" priority="62">
      <formula>$A1="網路組"</formula>
    </cfRule>
    <cfRule type="expression" dxfId="792" priority="63">
      <formula>$A1="作業組"</formula>
    </cfRule>
    <cfRule type="expression" dxfId="791" priority="64">
      <formula>$A1="教學組"</formula>
    </cfRule>
    <cfRule type="expression" dxfId="790" priority="65">
      <formula>$A1="行政室"</formula>
    </cfRule>
  </conditionalFormatting>
  <conditionalFormatting sqref="N1 R1:AC1">
    <cfRule type="cellIs" dxfId="789" priority="50" stopIfTrue="1" operator="notEqual">
      <formula>#REF!</formula>
    </cfRule>
    <cfRule type="expression" dxfId="788" priority="51">
      <formula>#REF!="程式組"</formula>
    </cfRule>
    <cfRule type="expression" dxfId="787" priority="52">
      <formula>#REF!="網路組"</formula>
    </cfRule>
    <cfRule type="expression" dxfId="786" priority="53">
      <formula>#REF!="作業組"</formula>
    </cfRule>
    <cfRule type="expression" dxfId="785" priority="54">
      <formula>#REF!="教學組"</formula>
    </cfRule>
    <cfRule type="expression" dxfId="784" priority="55">
      <formula>#REF!="行政室"</formula>
    </cfRule>
  </conditionalFormatting>
  <conditionalFormatting sqref="N1">
    <cfRule type="expression" dxfId="783" priority="45">
      <formula>#REF!="程式組"</formula>
    </cfRule>
    <cfRule type="expression" dxfId="782" priority="46">
      <formula>#REF!="網路組"</formula>
    </cfRule>
    <cfRule type="expression" dxfId="781" priority="47">
      <formula>#REF!="作業組"</formula>
    </cfRule>
    <cfRule type="expression" dxfId="780" priority="48">
      <formula>#REF!="教學組"</formula>
    </cfRule>
    <cfRule type="expression" dxfId="779" priority="49">
      <formula>#REF!="行政室"</formula>
    </cfRule>
  </conditionalFormatting>
  <conditionalFormatting sqref="S1:AC1">
    <cfRule type="expression" dxfId="778" priority="56">
      <formula>#REF!="程式組"</formula>
    </cfRule>
  </conditionalFormatting>
  <conditionalFormatting sqref="S12:AC12">
    <cfRule type="cellIs" dxfId="777" priority="18" stopIfTrue="1" operator="notEqual">
      <formula>#REF!</formula>
    </cfRule>
    <cfRule type="expression" dxfId="776" priority="19">
      <formula>#REF!="程式組"</formula>
    </cfRule>
    <cfRule type="expression" dxfId="775" priority="20">
      <formula>#REF!="網路組"</formula>
    </cfRule>
    <cfRule type="expression" dxfId="774" priority="21">
      <formula>#REF!="作業組"</formula>
    </cfRule>
    <cfRule type="expression" dxfId="773" priority="22">
      <formula>#REF!="教學組"</formula>
    </cfRule>
    <cfRule type="expression" dxfId="772" priority="23">
      <formula>#REF!="行政室"</formula>
    </cfRule>
    <cfRule type="expression" dxfId="771" priority="24">
      <formula>#REF!="程式組"</formula>
    </cfRule>
    <cfRule type="expression" dxfId="770" priority="25">
      <formula>#REF!="網路組"</formula>
    </cfRule>
    <cfRule type="expression" dxfId="769" priority="29">
      <formula>$A12="程式組"</formula>
    </cfRule>
    <cfRule type="expression" dxfId="768" priority="30">
      <formula>$A12="網路組"</formula>
    </cfRule>
    <cfRule type="expression" dxfId="767" priority="31">
      <formula>$A12="作業組"</formula>
    </cfRule>
    <cfRule type="expression" dxfId="766" priority="32">
      <formula>$A12="教學組"</formula>
    </cfRule>
    <cfRule type="expression" dxfId="765" priority="33">
      <formula>$A12="行政室"</formula>
    </cfRule>
  </conditionalFormatting>
  <conditionalFormatting sqref="E1:E10">
    <cfRule type="expression" dxfId="764" priority="11">
      <formula>#REF!="程式組"</formula>
    </cfRule>
    <cfRule type="expression" dxfId="763" priority="12">
      <formula>#REF!="網路組"</formula>
    </cfRule>
  </conditionalFormatting>
  <conditionalFormatting sqref="E1:E21">
    <cfRule type="expression" dxfId="762" priority="13">
      <formula>#REF!="作業組"</formula>
    </cfRule>
    <cfRule type="expression" dxfId="761" priority="14">
      <formula>#REF!="教學組"</formula>
    </cfRule>
    <cfRule type="expression" dxfId="760" priority="15">
      <formula>#REF!="行政室"</formula>
    </cfRule>
  </conditionalFormatting>
  <conditionalFormatting sqref="E11:E21">
    <cfRule type="expression" dxfId="759" priority="16">
      <formula>#REF!="程式組"</formula>
    </cfRule>
    <cfRule type="expression" dxfId="758" priority="17">
      <formula>#REF!="網路組"</formula>
    </cfRule>
  </conditionalFormatting>
  <conditionalFormatting sqref="E1:E1048576">
    <cfRule type="expression" dxfId="757" priority="6">
      <formula>$A1="程式組"</formula>
    </cfRule>
    <cfRule type="expression" dxfId="756" priority="7">
      <formula>$A1="網路組"</formula>
    </cfRule>
    <cfRule type="expression" dxfId="755" priority="8">
      <formula>$A1="作業組"</formula>
    </cfRule>
    <cfRule type="expression" dxfId="754" priority="9">
      <formula>$A1="教學組"</formula>
    </cfRule>
    <cfRule type="expression" dxfId="753" priority="10">
      <formula>$A1="行政室"</formula>
    </cfRule>
  </conditionalFormatting>
  <conditionalFormatting sqref="E35">
    <cfRule type="expression" dxfId="752" priority="1">
      <formula>#REF!="作業組"</formula>
    </cfRule>
    <cfRule type="expression" dxfId="751" priority="2">
      <formula>#REF!="教學組"</formula>
    </cfRule>
    <cfRule type="expression" dxfId="750" priority="3">
      <formula>#REF!="行政室"</formula>
    </cfRule>
  </conditionalFormatting>
  <conditionalFormatting sqref="E35">
    <cfRule type="expression" dxfId="749" priority="4">
      <formula>#REF!="程式組"</formula>
    </cfRule>
    <cfRule type="expression" dxfId="748" priority="5">
      <formula>#REF!="網路組"</formula>
    </cfRule>
  </conditionalFormatting>
  <dataValidations count="2">
    <dataValidation type="list" allowBlank="1" showInputMessage="1" showErrorMessage="1" sqref="U2 N2 U13" xr:uid="{8F3FC1F8-16E1-49CF-8434-766E4F526BF4}">
      <formula1>OFFSET(組別,1,0,COUNTA(組別)-1,1)</formula1>
    </dataValidation>
    <dataValidation type="list" allowBlank="1" showInputMessage="1" showErrorMessage="1" sqref="S9" xr:uid="{59DC4071-27AA-4A0A-B88D-95FA430BB6A4}">
      <formula1>"1,2,3,4,5,6,7,8,9,10,11,12"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6B67-8C2E-4EC5-ACFD-64EF458ADD48}">
  <sheetPr>
    <tabColor theme="7" tint="-0.249977111117893"/>
  </sheetPr>
  <dimension ref="A1:AI54"/>
  <sheetViews>
    <sheetView workbookViewId="0">
      <selection activeCell="Q37" sqref="Q37"/>
    </sheetView>
  </sheetViews>
  <sheetFormatPr defaultRowHeight="15.45" x14ac:dyDescent="0.4"/>
  <cols>
    <col min="1" max="1" width="5.6640625" style="37" customWidth="1"/>
    <col min="2" max="2" width="11.4140625" style="37" customWidth="1"/>
    <col min="3" max="3" width="9.4140625" style="99" customWidth="1"/>
    <col min="4" max="4" width="8.66406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9140625" style="101" customWidth="1"/>
    <col min="10" max="10" width="6.83203125" style="166" customWidth="1"/>
    <col min="11" max="11" width="7.4140625" style="100" customWidth="1"/>
    <col min="12" max="12" width="6.4140625" style="23" customWidth="1"/>
    <col min="13" max="14" width="5.08203125" customWidth="1"/>
    <col min="16" max="16" width="13.83203125" customWidth="1"/>
    <col min="17" max="17" width="7.6640625" style="23" bestFit="1" customWidth="1"/>
    <col min="18" max="18" width="9.9140625" style="23" customWidth="1"/>
    <col min="19" max="19" width="9.83203125" style="23" bestFit="1" customWidth="1"/>
    <col min="20" max="20" width="8.75" style="23" customWidth="1"/>
    <col min="21" max="21" width="21" customWidth="1"/>
    <col min="22" max="22" width="7.5" bestFit="1" customWidth="1"/>
    <col min="23" max="23" width="11.83203125" customWidth="1"/>
    <col min="24" max="24" width="11.33203125" customWidth="1"/>
    <col min="25" max="25" width="10.1640625" customWidth="1"/>
    <col min="26" max="26" width="12.1640625" customWidth="1"/>
    <col min="27" max="27" width="12" customWidth="1"/>
    <col min="28" max="28" width="11.1640625" customWidth="1"/>
    <col min="29" max="29" width="8.75" customWidth="1"/>
    <col min="30" max="30" width="12.6640625" customWidth="1"/>
    <col min="31" max="31" width="7.6640625" customWidth="1"/>
    <col min="32" max="32" width="10.5" customWidth="1"/>
    <col min="33" max="33" width="5.83203125" bestFit="1" customWidth="1"/>
    <col min="34" max="34" width="3.58203125" bestFit="1" customWidth="1"/>
  </cols>
  <sheetData>
    <row r="1" spans="1:34" ht="36" x14ac:dyDescent="0.4">
      <c r="A1" s="171" t="s">
        <v>621</v>
      </c>
      <c r="B1" s="171" t="s">
        <v>622</v>
      </c>
      <c r="C1" s="172" t="s">
        <v>623</v>
      </c>
      <c r="D1" s="172" t="s">
        <v>624</v>
      </c>
      <c r="E1" s="172" t="s">
        <v>625</v>
      </c>
      <c r="F1" s="172" t="s">
        <v>626</v>
      </c>
      <c r="G1" s="173" t="s">
        <v>627</v>
      </c>
      <c r="H1" s="172" t="s">
        <v>628</v>
      </c>
      <c r="I1" s="174" t="s">
        <v>629</v>
      </c>
      <c r="J1" s="175" t="s">
        <v>822</v>
      </c>
      <c r="K1" s="172" t="s">
        <v>630</v>
      </c>
      <c r="L1" s="176" t="s">
        <v>631</v>
      </c>
      <c r="O1" s="116" t="s">
        <v>623</v>
      </c>
      <c r="P1" t="s">
        <v>824</v>
      </c>
      <c r="Q1" s="116" t="str" cm="1">
        <f t="array" ref="Q1:Q7">_xlfn.UNIQUE(C:C)</f>
        <v>組別</v>
      </c>
      <c r="R1" s="130" t="s">
        <v>822</v>
      </c>
      <c r="S1" s="130" t="str" cm="1">
        <f t="array" ref="S1:S14">_xlfn.UNIQUE(J:J)</f>
        <v>到職月份</v>
      </c>
      <c r="T1" s="126"/>
      <c r="U1" s="127" t="s">
        <v>5</v>
      </c>
      <c r="V1" s="125" t="s">
        <v>823</v>
      </c>
      <c r="X1" s="130" t="s">
        <v>822</v>
      </c>
      <c r="Y1" s="116" t="s">
        <v>623</v>
      </c>
      <c r="Z1" s="23"/>
      <c r="AB1" s="130" t="s">
        <v>822</v>
      </c>
      <c r="AC1" s="130" t="s">
        <v>822</v>
      </c>
      <c r="AE1" s="130" t="s">
        <v>822</v>
      </c>
      <c r="AF1" s="116" t="s">
        <v>623</v>
      </c>
      <c r="AG1" s="253" t="s">
        <v>842</v>
      </c>
    </row>
    <row r="2" spans="1:34" ht="46.3" x14ac:dyDescent="0.4">
      <c r="A2" s="177" t="str">
        <f>B2&amp;TEXT(ROW()-1,"000")</f>
        <v>A001</v>
      </c>
      <c r="B2" s="177" t="str">
        <f>VLOOKUP(C2,item!B:C,2,0)</f>
        <v>A</v>
      </c>
      <c r="C2" s="178" t="s">
        <v>632</v>
      </c>
      <c r="D2" s="179" t="s">
        <v>633</v>
      </c>
      <c r="E2" s="180" t="s">
        <v>634</v>
      </c>
      <c r="F2" s="181">
        <v>65001</v>
      </c>
      <c r="G2" s="182" t="s">
        <v>635</v>
      </c>
      <c r="H2" s="181">
        <v>220</v>
      </c>
      <c r="I2" s="183">
        <v>35796</v>
      </c>
      <c r="J2" s="184">
        <f>MONTH('Filter2-查詢2'!$I2)</f>
        <v>1</v>
      </c>
      <c r="K2" s="185"/>
      <c r="L2" s="186" t="s">
        <v>636</v>
      </c>
      <c r="O2" s="136" t="s">
        <v>632</v>
      </c>
      <c r="P2" s="126" t="s">
        <v>821</v>
      </c>
      <c r="Q2" s="260" t="str">
        <v>行政室</v>
      </c>
      <c r="R2" s="164">
        <f>MONTH(I:I)</f>
        <v>1</v>
      </c>
      <c r="S2" s="126">
        <v>1</v>
      </c>
      <c r="T2" s="126"/>
      <c r="U2" s="114"/>
      <c r="V2" t="b" cm="1">
        <f t="array" aca="1" ref="V2:V54" ca="1">MONTH(I2:I54)=MONTH(TODAY())</f>
        <v>0</v>
      </c>
      <c r="W2" s="114"/>
      <c r="X2" s="137">
        <v>2</v>
      </c>
      <c r="Y2" s="26" t="s">
        <v>632</v>
      </c>
      <c r="Z2" s="255" t="s">
        <v>844</v>
      </c>
      <c r="AB2" s="170">
        <v>1</v>
      </c>
      <c r="AC2" s="137">
        <v>1</v>
      </c>
      <c r="AD2" s="254" t="s">
        <v>841</v>
      </c>
      <c r="AE2" s="137"/>
      <c r="AF2" s="125" t="s">
        <v>658</v>
      </c>
      <c r="AG2" s="126" t="s">
        <v>843</v>
      </c>
    </row>
    <row r="3" spans="1:34" ht="25.75" customHeight="1" x14ac:dyDescent="0.4">
      <c r="A3" s="187" t="str">
        <f t="shared" ref="A3:A54" si="0">B3&amp;TEXT(ROW()-1,"000")</f>
        <v>A002</v>
      </c>
      <c r="B3" s="187" t="str">
        <f>VLOOKUP(C3,item!B:C,2,0)</f>
        <v>A</v>
      </c>
      <c r="C3" s="188" t="s">
        <v>632</v>
      </c>
      <c r="D3" s="189" t="s">
        <v>640</v>
      </c>
      <c r="E3" s="190" t="s">
        <v>641</v>
      </c>
      <c r="F3" s="189">
        <v>65050</v>
      </c>
      <c r="G3" s="191" t="s">
        <v>642</v>
      </c>
      <c r="H3" s="189">
        <v>216</v>
      </c>
      <c r="I3" s="192">
        <v>35827</v>
      </c>
      <c r="J3" s="193">
        <f>MONTH('Filter2-查詢2'!$I3)</f>
        <v>2</v>
      </c>
      <c r="K3" s="189"/>
      <c r="L3" s="194" t="s">
        <v>643</v>
      </c>
      <c r="Q3" s="23" t="str">
        <v>教學組</v>
      </c>
      <c r="S3" s="23">
        <v>2</v>
      </c>
      <c r="V3" t="b">
        <f ca="1"/>
        <v>0</v>
      </c>
    </row>
    <row r="4" spans="1:34" x14ac:dyDescent="0.4">
      <c r="A4" s="177" t="str">
        <f t="shared" si="0"/>
        <v>A003</v>
      </c>
      <c r="B4" s="177" t="str">
        <f>VLOOKUP(C4,item!B:C,2,0)</f>
        <v>A</v>
      </c>
      <c r="C4" s="178" t="s">
        <v>632</v>
      </c>
      <c r="D4" s="195" t="s">
        <v>644</v>
      </c>
      <c r="E4" s="196" t="s">
        <v>645</v>
      </c>
      <c r="F4" s="195">
        <v>65046</v>
      </c>
      <c r="G4" s="197" t="s">
        <v>646</v>
      </c>
      <c r="H4" s="198">
        <v>216</v>
      </c>
      <c r="I4" s="183">
        <v>35855</v>
      </c>
      <c r="J4" s="184">
        <f>MONTH('Filter2-查詢2'!$I4)</f>
        <v>3</v>
      </c>
      <c r="K4" s="198"/>
      <c r="L4" s="186" t="s">
        <v>647</v>
      </c>
      <c r="Q4" s="23" t="str">
        <v>作業組</v>
      </c>
      <c r="S4" s="23">
        <v>3</v>
      </c>
      <c r="V4" t="b">
        <f ca="1"/>
        <v>0</v>
      </c>
      <c r="X4" s="252" t="s">
        <v>847</v>
      </c>
    </row>
    <row r="5" spans="1:34" x14ac:dyDescent="0.4">
      <c r="A5" s="187" t="str">
        <f t="shared" si="0"/>
        <v>A004</v>
      </c>
      <c r="B5" s="187" t="str">
        <f>VLOOKUP(C5,item!B:C,2,0)</f>
        <v>A</v>
      </c>
      <c r="C5" s="188" t="s">
        <v>632</v>
      </c>
      <c r="D5" s="189" t="s">
        <v>648</v>
      </c>
      <c r="E5" s="199" t="s">
        <v>649</v>
      </c>
      <c r="F5" s="189">
        <v>65048</v>
      </c>
      <c r="G5" s="191" t="s">
        <v>650</v>
      </c>
      <c r="H5" s="189">
        <v>216</v>
      </c>
      <c r="I5" s="192">
        <v>35886</v>
      </c>
      <c r="J5" s="193">
        <f>MONTH('Filter2-查詢2'!$I5)</f>
        <v>4</v>
      </c>
      <c r="K5" s="189"/>
      <c r="L5" s="194" t="s">
        <v>651</v>
      </c>
      <c r="Q5" s="23" t="str">
        <v>網路組</v>
      </c>
      <c r="S5" s="23">
        <v>4</v>
      </c>
      <c r="V5" t="b">
        <f ca="1"/>
        <v>1</v>
      </c>
      <c r="X5" s="135" t="s">
        <v>846</v>
      </c>
    </row>
    <row r="6" spans="1:34" x14ac:dyDescent="0.4">
      <c r="A6" s="177" t="str">
        <f t="shared" si="0"/>
        <v>A005</v>
      </c>
      <c r="B6" s="177" t="str">
        <f>VLOOKUP(C6,item!B:C,2,0)</f>
        <v>A</v>
      </c>
      <c r="C6" s="178" t="s">
        <v>632</v>
      </c>
      <c r="D6" s="200" t="s">
        <v>652</v>
      </c>
      <c r="E6" s="196" t="s">
        <v>653</v>
      </c>
      <c r="F6" s="201">
        <v>65049</v>
      </c>
      <c r="G6" s="202" t="s">
        <v>654</v>
      </c>
      <c r="H6" s="201">
        <v>216</v>
      </c>
      <c r="I6" s="183">
        <v>35916</v>
      </c>
      <c r="J6" s="184">
        <f>MONTH('Filter2-查詢2'!$I6)</f>
        <v>5</v>
      </c>
      <c r="K6" s="201"/>
      <c r="L6" s="186" t="s">
        <v>655</v>
      </c>
      <c r="Q6" s="23" t="str">
        <v>程式組</v>
      </c>
      <c r="S6" s="23">
        <v>5</v>
      </c>
      <c r="V6" s="115" t="b">
        <f ca="1"/>
        <v>0</v>
      </c>
      <c r="X6" s="33" t="s">
        <v>275</v>
      </c>
      <c r="Y6" s="33" t="s">
        <v>827</v>
      </c>
      <c r="Z6" s="33" t="s">
        <v>623</v>
      </c>
      <c r="AA6" s="33" t="s">
        <v>624</v>
      </c>
      <c r="AB6" s="33" t="s">
        <v>625</v>
      </c>
      <c r="AC6" s="33" t="s">
        <v>828</v>
      </c>
      <c r="AD6" s="33" t="s">
        <v>829</v>
      </c>
      <c r="AE6" s="33" t="s">
        <v>830</v>
      </c>
      <c r="AF6" s="33" t="s">
        <v>831</v>
      </c>
      <c r="AG6" s="33" t="s">
        <v>832</v>
      </c>
      <c r="AH6" s="33" t="s">
        <v>434</v>
      </c>
    </row>
    <row r="7" spans="1:34" x14ac:dyDescent="0.4">
      <c r="A7" s="187" t="str">
        <f t="shared" si="0"/>
        <v>B006</v>
      </c>
      <c r="B7" s="187" t="str">
        <f>VLOOKUP(C7,item!B:C,2,0)</f>
        <v>B</v>
      </c>
      <c r="C7" s="188" t="s">
        <v>658</v>
      </c>
      <c r="D7" s="189" t="s">
        <v>659</v>
      </c>
      <c r="E7" s="199" t="s">
        <v>660</v>
      </c>
      <c r="F7" s="203">
        <v>65005</v>
      </c>
      <c r="G7" s="204" t="s">
        <v>661</v>
      </c>
      <c r="H7" s="203">
        <v>209</v>
      </c>
      <c r="I7" s="192">
        <v>35947</v>
      </c>
      <c r="J7" s="193">
        <f>MONTH('Filter2-查詢2'!$I7)</f>
        <v>6</v>
      </c>
      <c r="K7" s="203"/>
      <c r="L7" s="194" t="s">
        <v>662</v>
      </c>
      <c r="Q7" s="23">
        <v>0</v>
      </c>
      <c r="S7" s="23">
        <v>6</v>
      </c>
      <c r="V7" t="b">
        <f ca="1"/>
        <v>0</v>
      </c>
      <c r="X7" t="str" cm="1">
        <f t="array" ref="X7:AH7">_xlfn._xlws.FILTER(staff,MONTH(到職日期)=X2*(C2:C54=Y2),"本月無資料")</f>
        <v>A002</v>
      </c>
      <c r="Y7" t="str">
        <v>A</v>
      </c>
      <c r="Z7" t="str">
        <v>行政室</v>
      </c>
      <c r="AA7" t="str">
        <v>陳雅君</v>
      </c>
      <c r="AB7" t="str">
        <v>幹事</v>
      </c>
      <c r="AC7">
        <v>65050</v>
      </c>
      <c r="AD7" t="str">
        <v>yachun2240@ntu.edu.tw</v>
      </c>
      <c r="AE7">
        <v>216</v>
      </c>
      <c r="AF7" s="128">
        <v>35827</v>
      </c>
      <c r="AG7">
        <v>0</v>
      </c>
      <c r="AH7" t="str">
        <v>02</v>
      </c>
    </row>
    <row r="8" spans="1:34" x14ac:dyDescent="0.4">
      <c r="A8" s="177" t="str">
        <f t="shared" si="0"/>
        <v>B007</v>
      </c>
      <c r="B8" s="177" t="str">
        <f>VLOOKUP(C8,item!B:C,2,0)</f>
        <v>B</v>
      </c>
      <c r="C8" s="178" t="s">
        <v>658</v>
      </c>
      <c r="D8" s="179" t="s">
        <v>663</v>
      </c>
      <c r="E8" s="205" t="s">
        <v>664</v>
      </c>
      <c r="F8" s="179">
        <v>65047</v>
      </c>
      <c r="G8" s="206" t="s">
        <v>665</v>
      </c>
      <c r="H8" s="181">
        <v>216</v>
      </c>
      <c r="I8" s="183">
        <v>35977</v>
      </c>
      <c r="J8" s="184">
        <f>MONTH('Filter2-查詢2'!$I8)</f>
        <v>7</v>
      </c>
      <c r="K8" s="181"/>
      <c r="L8" s="186" t="s">
        <v>666</v>
      </c>
      <c r="S8" s="23">
        <v>7</v>
      </c>
      <c r="V8" t="b">
        <f ca="1"/>
        <v>0</v>
      </c>
      <c r="AF8" s="128"/>
    </row>
    <row r="9" spans="1:34" x14ac:dyDescent="0.4">
      <c r="A9" s="187" t="str">
        <f t="shared" si="0"/>
        <v>B008</v>
      </c>
      <c r="B9" s="187" t="str">
        <f>VLOOKUP(C9,item!B:C,2,0)</f>
        <v>B</v>
      </c>
      <c r="C9" s="188" t="s">
        <v>658</v>
      </c>
      <c r="D9" s="189" t="s">
        <v>667</v>
      </c>
      <c r="E9" s="199" t="s">
        <v>641</v>
      </c>
      <c r="F9" s="189">
        <v>65031</v>
      </c>
      <c r="G9" s="191" t="s">
        <v>668</v>
      </c>
      <c r="H9" s="189">
        <v>318</v>
      </c>
      <c r="I9" s="192">
        <v>36008</v>
      </c>
      <c r="J9" s="193">
        <f>MONTH('Filter2-查詢2'!$I9)</f>
        <v>8</v>
      </c>
      <c r="K9" s="189"/>
      <c r="L9" s="194" t="s">
        <v>669</v>
      </c>
      <c r="S9" s="23">
        <v>8</v>
      </c>
      <c r="V9" t="b">
        <f ca="1"/>
        <v>0</v>
      </c>
      <c r="AF9" s="128"/>
    </row>
    <row r="10" spans="1:34" x14ac:dyDescent="0.4">
      <c r="A10" s="177" t="str">
        <f t="shared" si="0"/>
        <v>B009</v>
      </c>
      <c r="B10" s="177" t="str">
        <f>VLOOKUP(C10,item!B:C,2,0)</f>
        <v>B</v>
      </c>
      <c r="C10" s="178" t="s">
        <v>658</v>
      </c>
      <c r="D10" s="198" t="s">
        <v>670</v>
      </c>
      <c r="E10" s="196" t="s">
        <v>641</v>
      </c>
      <c r="F10" s="198">
        <v>55448</v>
      </c>
      <c r="G10" s="197" t="s">
        <v>671</v>
      </c>
      <c r="H10" s="198">
        <v>318</v>
      </c>
      <c r="I10" s="183">
        <v>36039</v>
      </c>
      <c r="J10" s="184">
        <f>MONTH('Filter2-查詢2'!$I10)</f>
        <v>9</v>
      </c>
      <c r="K10" s="207"/>
      <c r="L10" s="186" t="s">
        <v>672</v>
      </c>
      <c r="S10" s="23">
        <v>9</v>
      </c>
      <c r="V10" t="b">
        <f ca="1"/>
        <v>0</v>
      </c>
    </row>
    <row r="11" spans="1:34" ht="45" x14ac:dyDescent="0.4">
      <c r="A11" s="187" t="str">
        <f t="shared" si="0"/>
        <v>C010</v>
      </c>
      <c r="B11" s="187" t="str">
        <f>VLOOKUP(C11,item!B:C,2,0)</f>
        <v>C</v>
      </c>
      <c r="C11" s="188" t="s">
        <v>673</v>
      </c>
      <c r="D11" s="208" t="s">
        <v>674</v>
      </c>
      <c r="E11" s="209" t="s">
        <v>660</v>
      </c>
      <c r="F11" s="210">
        <v>65004</v>
      </c>
      <c r="G11" s="211" t="s">
        <v>675</v>
      </c>
      <c r="H11" s="210">
        <v>213</v>
      </c>
      <c r="I11" s="192">
        <v>36069</v>
      </c>
      <c r="J11" s="193">
        <f>MONTH('Filter2-查詢2'!$I11)</f>
        <v>10</v>
      </c>
      <c r="K11" s="210"/>
      <c r="L11" s="194" t="s">
        <v>676</v>
      </c>
      <c r="S11" s="23">
        <v>10</v>
      </c>
      <c r="V11" t="b">
        <f ca="1"/>
        <v>0</v>
      </c>
    </row>
    <row r="12" spans="1:34" x14ac:dyDescent="0.4">
      <c r="A12" s="177" t="str">
        <f t="shared" si="0"/>
        <v>C011</v>
      </c>
      <c r="B12" s="177" t="str">
        <f>VLOOKUP(C12,item!B:C,2,0)</f>
        <v>C</v>
      </c>
      <c r="C12" s="178" t="s">
        <v>673</v>
      </c>
      <c r="D12" s="198" t="s">
        <v>677</v>
      </c>
      <c r="E12" s="212" t="s">
        <v>839</v>
      </c>
      <c r="F12" s="198">
        <v>65026</v>
      </c>
      <c r="G12" s="197" t="s">
        <v>678</v>
      </c>
      <c r="H12" s="198">
        <v>403</v>
      </c>
      <c r="I12" s="183">
        <v>36100</v>
      </c>
      <c r="J12" s="184">
        <f>MONTH('Filter2-查詢2'!$I12)</f>
        <v>11</v>
      </c>
      <c r="K12" s="198"/>
      <c r="L12" s="186" t="s">
        <v>679</v>
      </c>
      <c r="S12" s="23">
        <v>11</v>
      </c>
      <c r="V12" t="b">
        <f ca="1"/>
        <v>0</v>
      </c>
    </row>
    <row r="13" spans="1:34" x14ac:dyDescent="0.4">
      <c r="A13" s="187" t="str">
        <f t="shared" si="0"/>
        <v>C012</v>
      </c>
      <c r="B13" s="187" t="str">
        <f>VLOOKUP(C13,item!B:C,2,0)</f>
        <v>C</v>
      </c>
      <c r="C13" s="188" t="s">
        <v>673</v>
      </c>
      <c r="D13" s="189" t="s">
        <v>680</v>
      </c>
      <c r="E13" s="213" t="s">
        <v>839</v>
      </c>
      <c r="F13" s="189">
        <v>65034</v>
      </c>
      <c r="G13" s="191" t="s">
        <v>681</v>
      </c>
      <c r="H13" s="189">
        <v>301</v>
      </c>
      <c r="I13" s="192">
        <v>36130</v>
      </c>
      <c r="J13" s="193">
        <f>MONTH('Filter2-查詢2'!$I13)</f>
        <v>12</v>
      </c>
      <c r="K13" s="189"/>
      <c r="L13" s="194" t="s">
        <v>682</v>
      </c>
      <c r="S13" s="23">
        <v>12</v>
      </c>
      <c r="V13" t="b">
        <f ca="1"/>
        <v>0</v>
      </c>
      <c r="X13" s="116" t="s">
        <v>623</v>
      </c>
      <c r="Y13" s="136" t="str">
        <f>Y2</f>
        <v>行政室</v>
      </c>
    </row>
    <row r="14" spans="1:34" x14ac:dyDescent="0.4">
      <c r="A14" s="177" t="str">
        <f t="shared" si="0"/>
        <v>C013</v>
      </c>
      <c r="B14" s="177" t="str">
        <f>VLOOKUP(C14,item!B:C,2,0)</f>
        <v>C</v>
      </c>
      <c r="C14" s="178" t="s">
        <v>673</v>
      </c>
      <c r="D14" s="214" t="s">
        <v>683</v>
      </c>
      <c r="E14" s="212" t="s">
        <v>641</v>
      </c>
      <c r="F14" s="195">
        <v>65059</v>
      </c>
      <c r="G14" s="197" t="s">
        <v>684</v>
      </c>
      <c r="H14" s="198">
        <v>109</v>
      </c>
      <c r="I14" s="183">
        <v>36161</v>
      </c>
      <c r="J14" s="184">
        <f>MONTH('Filter2-查詢2'!$I14)</f>
        <v>1</v>
      </c>
      <c r="K14" s="215"/>
      <c r="L14" s="186" t="s">
        <v>685</v>
      </c>
      <c r="S14" s="23">
        <v>0</v>
      </c>
      <c r="V14" t="b">
        <f ca="1"/>
        <v>0</v>
      </c>
      <c r="X14" s="135" t="s">
        <v>845</v>
      </c>
    </row>
    <row r="15" spans="1:34" ht="16.75" x14ac:dyDescent="0.45">
      <c r="A15" s="187" t="str">
        <f t="shared" si="0"/>
        <v>C014</v>
      </c>
      <c r="B15" s="187" t="str">
        <f>VLOOKUP(C15,item!B:C,2,0)</f>
        <v>C</v>
      </c>
      <c r="C15" s="188" t="s">
        <v>673</v>
      </c>
      <c r="D15" s="189" t="s">
        <v>686</v>
      </c>
      <c r="E15" s="199" t="s">
        <v>641</v>
      </c>
      <c r="F15" s="189">
        <v>65016</v>
      </c>
      <c r="G15" s="216" t="s">
        <v>687</v>
      </c>
      <c r="H15" s="189">
        <v>109</v>
      </c>
      <c r="I15" s="192">
        <v>36192</v>
      </c>
      <c r="J15" s="193">
        <f>MONTH('Filter2-查詢2'!$I15)</f>
        <v>2</v>
      </c>
      <c r="K15" s="189"/>
      <c r="L15" s="194" t="s">
        <v>688</v>
      </c>
      <c r="V15" t="b">
        <f ca="1"/>
        <v>0</v>
      </c>
      <c r="X15" s="33" t="s">
        <v>275</v>
      </c>
      <c r="Y15" s="33" t="s">
        <v>827</v>
      </c>
      <c r="Z15" s="33" t="s">
        <v>623</v>
      </c>
      <c r="AA15" s="33" t="s">
        <v>624</v>
      </c>
      <c r="AB15" s="33" t="s">
        <v>625</v>
      </c>
      <c r="AC15" s="33" t="s">
        <v>828</v>
      </c>
      <c r="AD15" s="33" t="s">
        <v>829</v>
      </c>
      <c r="AE15" s="33" t="s">
        <v>830</v>
      </c>
      <c r="AF15" s="33" t="s">
        <v>831</v>
      </c>
      <c r="AG15" s="33" t="s">
        <v>832</v>
      </c>
      <c r="AH15" s="33" t="s">
        <v>434</v>
      </c>
    </row>
    <row r="16" spans="1:34" x14ac:dyDescent="0.4">
      <c r="A16" s="177" t="str">
        <f t="shared" si="0"/>
        <v>C015</v>
      </c>
      <c r="B16" s="177" t="str">
        <f>VLOOKUP(C16,item!B:C,2,0)</f>
        <v>C</v>
      </c>
      <c r="C16" s="178" t="s">
        <v>673</v>
      </c>
      <c r="D16" s="195" t="s">
        <v>689</v>
      </c>
      <c r="E16" s="196" t="s">
        <v>641</v>
      </c>
      <c r="F16" s="217">
        <v>65519</v>
      </c>
      <c r="G16" s="197" t="s">
        <v>690</v>
      </c>
      <c r="H16" s="198">
        <v>315</v>
      </c>
      <c r="I16" s="183">
        <v>36220</v>
      </c>
      <c r="J16" s="184">
        <f>MONTH('Filter2-查詢2'!$I16)</f>
        <v>3</v>
      </c>
      <c r="K16" s="198"/>
      <c r="L16" s="186" t="s">
        <v>691</v>
      </c>
      <c r="V16" t="b">
        <f ca="1"/>
        <v>0</v>
      </c>
      <c r="X16" t="str" cm="1">
        <f t="array" ref="X16:AH20">_xlfn._xlws.FILTER(staff,C2:C54=Y2,"本月無資料")</f>
        <v>A001</v>
      </c>
      <c r="Y16" t="str">
        <v>A</v>
      </c>
      <c r="Z16" t="str">
        <v>行政室</v>
      </c>
      <c r="AA16" t="str">
        <v>顏嗣鈞</v>
      </c>
      <c r="AB16" t="str">
        <v>主任</v>
      </c>
      <c r="AC16">
        <v>65001</v>
      </c>
      <c r="AD16" t="str">
        <v>hcyen@ntu.edu.tw</v>
      </c>
      <c r="AE16">
        <v>220</v>
      </c>
      <c r="AF16">
        <v>35796</v>
      </c>
      <c r="AG16">
        <v>0</v>
      </c>
      <c r="AH16" t="str">
        <v>01</v>
      </c>
    </row>
    <row r="17" spans="1:35" x14ac:dyDescent="0.4">
      <c r="A17" s="187" t="str">
        <f t="shared" si="0"/>
        <v>C016</v>
      </c>
      <c r="B17" s="187" t="str">
        <f>VLOOKUP(C17,item!B:C,2,0)</f>
        <v>C</v>
      </c>
      <c r="C17" s="188" t="s">
        <v>673</v>
      </c>
      <c r="D17" s="189" t="s">
        <v>692</v>
      </c>
      <c r="E17" s="199" t="s">
        <v>641</v>
      </c>
      <c r="F17" s="218">
        <v>69869</v>
      </c>
      <c r="G17" s="191" t="s">
        <v>693</v>
      </c>
      <c r="H17" s="189">
        <v>316</v>
      </c>
      <c r="I17" s="192">
        <v>36251</v>
      </c>
      <c r="J17" s="193">
        <f>MONTH('Filter2-查詢2'!$I17)</f>
        <v>4</v>
      </c>
      <c r="K17" s="189"/>
      <c r="L17" s="194" t="s">
        <v>694</v>
      </c>
      <c r="V17" t="b">
        <f ca="1"/>
        <v>1</v>
      </c>
      <c r="X17" t="str">
        <v>A002</v>
      </c>
      <c r="Y17" t="str">
        <v>A</v>
      </c>
      <c r="Z17" t="str">
        <v>行政室</v>
      </c>
      <c r="AA17" t="str">
        <v>陳雅君</v>
      </c>
      <c r="AB17" t="str">
        <v>幹事</v>
      </c>
      <c r="AC17">
        <v>65050</v>
      </c>
      <c r="AD17" t="str">
        <v>yachun2240@ntu.edu.tw</v>
      </c>
      <c r="AE17">
        <v>216</v>
      </c>
      <c r="AF17">
        <v>35827</v>
      </c>
      <c r="AG17">
        <v>0</v>
      </c>
      <c r="AH17" t="str">
        <v>02</v>
      </c>
    </row>
    <row r="18" spans="1:35" x14ac:dyDescent="0.4">
      <c r="A18" s="177" t="str">
        <f t="shared" si="0"/>
        <v>C017</v>
      </c>
      <c r="B18" s="177" t="str">
        <f>VLOOKUP(C18,item!B:C,2,0)</f>
        <v>C</v>
      </c>
      <c r="C18" s="178" t="s">
        <v>673</v>
      </c>
      <c r="D18" s="214" t="s">
        <v>695</v>
      </c>
      <c r="E18" s="219" t="s">
        <v>641</v>
      </c>
      <c r="F18" s="217">
        <v>65522</v>
      </c>
      <c r="G18" s="220" t="s">
        <v>696</v>
      </c>
      <c r="H18" s="214">
        <v>316</v>
      </c>
      <c r="I18" s="183">
        <v>36281</v>
      </c>
      <c r="J18" s="184">
        <f>MONTH('Filter2-查詢2'!$I18)</f>
        <v>5</v>
      </c>
      <c r="K18" s="215"/>
      <c r="L18" s="186" t="s">
        <v>697</v>
      </c>
      <c r="V18" t="b">
        <f ca="1"/>
        <v>0</v>
      </c>
      <c r="X18" t="str">
        <v>A003</v>
      </c>
      <c r="Y18" t="str">
        <v>A</v>
      </c>
      <c r="Z18" t="str">
        <v>行政室</v>
      </c>
      <c r="AA18" t="str">
        <v>陳郁文</v>
      </c>
      <c r="AB18" t="str">
        <v>編審</v>
      </c>
      <c r="AC18">
        <v>65046</v>
      </c>
      <c r="AD18" t="str">
        <v>ywc73@ntu.edu.tw</v>
      </c>
      <c r="AE18">
        <v>216</v>
      </c>
      <c r="AF18">
        <v>35855</v>
      </c>
      <c r="AG18">
        <v>0</v>
      </c>
      <c r="AH18" t="str">
        <v>03</v>
      </c>
    </row>
    <row r="19" spans="1:35" x14ac:dyDescent="0.4">
      <c r="A19" s="187" t="str">
        <f t="shared" si="0"/>
        <v>C018</v>
      </c>
      <c r="B19" s="187" t="str">
        <f>VLOOKUP(C19,item!B:C,2,0)</f>
        <v>C</v>
      </c>
      <c r="C19" s="188" t="s">
        <v>673</v>
      </c>
      <c r="D19" s="189" t="s">
        <v>698</v>
      </c>
      <c r="E19" s="199" t="s">
        <v>641</v>
      </c>
      <c r="F19" s="203">
        <v>65512</v>
      </c>
      <c r="G19" s="221" t="s">
        <v>699</v>
      </c>
      <c r="H19" s="189">
        <v>316</v>
      </c>
      <c r="I19" s="192">
        <v>36312</v>
      </c>
      <c r="J19" s="193">
        <f>MONTH('Filter2-查詢2'!$I19)</f>
        <v>6</v>
      </c>
      <c r="K19" s="189"/>
      <c r="L19" s="194" t="s">
        <v>700</v>
      </c>
      <c r="V19" t="b">
        <f ca="1"/>
        <v>0</v>
      </c>
      <c r="X19" t="str">
        <v>A004</v>
      </c>
      <c r="Y19" t="str">
        <v>A</v>
      </c>
      <c r="Z19" t="str">
        <v>行政室</v>
      </c>
      <c r="AA19" t="str">
        <v>陳玟諭</v>
      </c>
      <c r="AB19" t="str">
        <v>副理</v>
      </c>
      <c r="AC19">
        <v>65048</v>
      </c>
      <c r="AD19" t="str">
        <v>wenyuchen@ntu.edu.tw</v>
      </c>
      <c r="AE19">
        <v>216</v>
      </c>
      <c r="AF19">
        <v>35886</v>
      </c>
      <c r="AG19">
        <v>0</v>
      </c>
      <c r="AH19" t="str">
        <v>04</v>
      </c>
    </row>
    <row r="20" spans="1:35" x14ac:dyDescent="0.4">
      <c r="A20" s="177" t="str">
        <f t="shared" si="0"/>
        <v>C019</v>
      </c>
      <c r="B20" s="177" t="str">
        <f>VLOOKUP(C20,item!B:C,2,0)</f>
        <v>C</v>
      </c>
      <c r="C20" s="178" t="s">
        <v>673</v>
      </c>
      <c r="D20" s="222" t="s">
        <v>701</v>
      </c>
      <c r="E20" s="219" t="s">
        <v>641</v>
      </c>
      <c r="F20" s="217">
        <v>65510</v>
      </c>
      <c r="G20" s="223" t="s">
        <v>702</v>
      </c>
      <c r="H20" s="217">
        <v>316</v>
      </c>
      <c r="I20" s="183">
        <v>36342</v>
      </c>
      <c r="J20" s="184">
        <f>MONTH('Filter2-查詢2'!$I20)</f>
        <v>7</v>
      </c>
      <c r="K20" s="215"/>
      <c r="L20" s="186" t="s">
        <v>703</v>
      </c>
      <c r="V20" t="b">
        <f ca="1"/>
        <v>0</v>
      </c>
      <c r="X20" t="str">
        <v>A005</v>
      </c>
      <c r="Y20" t="str">
        <v>A</v>
      </c>
      <c r="Z20" t="str">
        <v>行政室</v>
      </c>
      <c r="AA20" t="str">
        <v>石馥瑄</v>
      </c>
      <c r="AB20" t="str">
        <v>全職工讀生</v>
      </c>
      <c r="AC20">
        <v>65049</v>
      </c>
      <c r="AD20" t="str">
        <v>sfx0320@ntu.edu.tw</v>
      </c>
      <c r="AE20">
        <v>216</v>
      </c>
      <c r="AF20">
        <v>35916</v>
      </c>
      <c r="AG20">
        <v>0</v>
      </c>
      <c r="AH20" t="str">
        <v>05</v>
      </c>
    </row>
    <row r="21" spans="1:35" x14ac:dyDescent="0.4">
      <c r="A21" s="187" t="str">
        <f t="shared" si="0"/>
        <v>C020</v>
      </c>
      <c r="B21" s="187" t="str">
        <f>VLOOKUP(C21,item!B:C,2,0)</f>
        <v>C</v>
      </c>
      <c r="C21" s="188" t="s">
        <v>673</v>
      </c>
      <c r="D21" s="189" t="s">
        <v>704</v>
      </c>
      <c r="E21" s="199" t="s">
        <v>653</v>
      </c>
      <c r="F21" s="189">
        <v>65022</v>
      </c>
      <c r="G21" s="191" t="s">
        <v>705</v>
      </c>
      <c r="H21" s="189">
        <v>109</v>
      </c>
      <c r="I21" s="192">
        <v>36373</v>
      </c>
      <c r="J21" s="193">
        <f>MONTH('Filter2-查詢2'!$I21)</f>
        <v>8</v>
      </c>
      <c r="K21" s="189"/>
      <c r="L21" s="194" t="s">
        <v>706</v>
      </c>
      <c r="V21" t="b">
        <f ca="1"/>
        <v>0</v>
      </c>
    </row>
    <row r="22" spans="1:35" x14ac:dyDescent="0.4">
      <c r="A22" s="177" t="str">
        <f t="shared" si="0"/>
        <v>D021</v>
      </c>
      <c r="B22" s="177" t="str">
        <f>VLOOKUP(C22,item!B:C,2,0)</f>
        <v>D</v>
      </c>
      <c r="C22" s="178" t="s">
        <v>707</v>
      </c>
      <c r="D22" s="179" t="s">
        <v>708</v>
      </c>
      <c r="E22" s="180" t="s">
        <v>660</v>
      </c>
      <c r="F22" s="179">
        <v>65002</v>
      </c>
      <c r="G22" s="223" t="s">
        <v>709</v>
      </c>
      <c r="H22" s="179">
        <v>217</v>
      </c>
      <c r="I22" s="183">
        <v>36404</v>
      </c>
      <c r="J22" s="184">
        <f>MONTH('Filter2-查詢2'!$I22)</f>
        <v>9</v>
      </c>
      <c r="K22" s="179"/>
      <c r="L22" s="186" t="s">
        <v>710</v>
      </c>
      <c r="V22" t="b">
        <f ca="1"/>
        <v>0</v>
      </c>
    </row>
    <row r="23" spans="1:35" x14ac:dyDescent="0.4">
      <c r="A23" s="187" t="str">
        <f t="shared" si="0"/>
        <v>D022</v>
      </c>
      <c r="B23" s="187" t="str">
        <f>VLOOKUP(C23,item!B:C,2,0)</f>
        <v>D</v>
      </c>
      <c r="C23" s="188" t="s">
        <v>707</v>
      </c>
      <c r="D23" s="189" t="s">
        <v>711</v>
      </c>
      <c r="E23" s="199" t="s">
        <v>712</v>
      </c>
      <c r="F23" s="189">
        <v>65006</v>
      </c>
      <c r="G23" s="191" t="s">
        <v>713</v>
      </c>
      <c r="H23" s="189">
        <v>411</v>
      </c>
      <c r="I23" s="192">
        <v>36434</v>
      </c>
      <c r="J23" s="193">
        <f>MONTH('Filter2-查詢2'!$I23)</f>
        <v>10</v>
      </c>
      <c r="K23" s="189"/>
      <c r="L23" s="194" t="s">
        <v>714</v>
      </c>
      <c r="V23" t="b">
        <f ca="1"/>
        <v>0</v>
      </c>
    </row>
    <row r="24" spans="1:35" x14ac:dyDescent="0.4">
      <c r="A24" s="177" t="str">
        <f t="shared" si="0"/>
        <v>D023</v>
      </c>
      <c r="B24" s="177" t="str">
        <f>VLOOKUP(C24,item!B:C,2,0)</f>
        <v>D</v>
      </c>
      <c r="C24" s="178" t="s">
        <v>707</v>
      </c>
      <c r="D24" s="198" t="s">
        <v>715</v>
      </c>
      <c r="E24" s="196" t="s">
        <v>712</v>
      </c>
      <c r="F24" s="198">
        <v>65010</v>
      </c>
      <c r="G24" s="197" t="s">
        <v>716</v>
      </c>
      <c r="H24" s="198">
        <v>411</v>
      </c>
      <c r="I24" s="183">
        <v>36465</v>
      </c>
      <c r="J24" s="184">
        <f>MONTH('Filter2-查詢2'!$I24)</f>
        <v>11</v>
      </c>
      <c r="K24" s="198"/>
      <c r="L24" s="186" t="s">
        <v>717</v>
      </c>
      <c r="V24" t="b">
        <f ca="1"/>
        <v>0</v>
      </c>
    </row>
    <row r="25" spans="1:35" ht="16.75" x14ac:dyDescent="0.45">
      <c r="A25" s="187" t="str">
        <f t="shared" si="0"/>
        <v>D024</v>
      </c>
      <c r="B25" s="187" t="str">
        <f>VLOOKUP(C25,item!B:C,2,0)</f>
        <v>D</v>
      </c>
      <c r="C25" s="188" t="s">
        <v>707</v>
      </c>
      <c r="D25" s="224" t="s">
        <v>718</v>
      </c>
      <c r="E25" s="225" t="s">
        <v>719</v>
      </c>
      <c r="F25" s="226">
        <v>65011</v>
      </c>
      <c r="G25" s="227" t="s">
        <v>720</v>
      </c>
      <c r="H25" s="226">
        <v>411</v>
      </c>
      <c r="I25" s="192">
        <v>36495</v>
      </c>
      <c r="J25" s="193">
        <f>MONTH('Filter2-查詢2'!$I25)</f>
        <v>12</v>
      </c>
      <c r="K25" s="189"/>
      <c r="L25" s="194" t="s">
        <v>721</v>
      </c>
      <c r="V25" t="b">
        <f ca="1"/>
        <v>0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x14ac:dyDescent="0.4">
      <c r="A26" s="177" t="str">
        <f t="shared" si="0"/>
        <v>D025</v>
      </c>
      <c r="B26" s="177" t="str">
        <f>VLOOKUP(C26,item!B:C,2,0)</f>
        <v>D</v>
      </c>
      <c r="C26" s="178" t="s">
        <v>707</v>
      </c>
      <c r="D26" s="198" t="s">
        <v>722</v>
      </c>
      <c r="E26" s="196" t="s">
        <v>649</v>
      </c>
      <c r="F26" s="214">
        <v>65008</v>
      </c>
      <c r="G26" s="228" t="s">
        <v>723</v>
      </c>
      <c r="H26" s="214">
        <v>411</v>
      </c>
      <c r="I26" s="183">
        <v>36526</v>
      </c>
      <c r="J26" s="184">
        <f>MONTH('Filter2-查詢2'!$I26)</f>
        <v>1</v>
      </c>
      <c r="K26" s="229"/>
      <c r="L26" s="186" t="s">
        <v>724</v>
      </c>
      <c r="V26" t="b">
        <f ca="1"/>
        <v>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6.75" x14ac:dyDescent="0.45">
      <c r="A27" s="187" t="str">
        <f t="shared" si="0"/>
        <v>D026</v>
      </c>
      <c r="B27" s="187" t="str">
        <f>VLOOKUP(C27,item!B:C,2,0)</f>
        <v>D</v>
      </c>
      <c r="C27" s="188" t="s">
        <v>707</v>
      </c>
      <c r="D27" s="230" t="s">
        <v>725</v>
      </c>
      <c r="E27" s="231" t="s">
        <v>641</v>
      </c>
      <c r="F27" s="189">
        <v>65012</v>
      </c>
      <c r="G27" s="232" t="s">
        <v>726</v>
      </c>
      <c r="H27" s="189">
        <v>411</v>
      </c>
      <c r="I27" s="192">
        <v>36557</v>
      </c>
      <c r="J27" s="193">
        <f>MONTH('Filter2-查詢2'!$I27)</f>
        <v>2</v>
      </c>
      <c r="K27" s="189"/>
      <c r="L27" s="194" t="s">
        <v>727</v>
      </c>
      <c r="V27" t="b">
        <f ca="1"/>
        <v>0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6.75" x14ac:dyDescent="0.45">
      <c r="A28" s="177" t="str">
        <f t="shared" si="0"/>
        <v>D027</v>
      </c>
      <c r="B28" s="177" t="str">
        <f>VLOOKUP(C28,item!B:C,2,0)</f>
        <v>D</v>
      </c>
      <c r="C28" s="178" t="s">
        <v>707</v>
      </c>
      <c r="D28" s="198" t="s">
        <v>728</v>
      </c>
      <c r="E28" s="196" t="s">
        <v>729</v>
      </c>
      <c r="F28" s="198">
        <v>65009</v>
      </c>
      <c r="G28" s="233" t="s">
        <v>730</v>
      </c>
      <c r="H28" s="198">
        <v>411</v>
      </c>
      <c r="I28" s="183">
        <v>36586</v>
      </c>
      <c r="J28" s="184">
        <f>MONTH('Filter2-查詢2'!$I28)</f>
        <v>3</v>
      </c>
      <c r="K28" s="198"/>
      <c r="L28" s="186" t="s">
        <v>731</v>
      </c>
      <c r="V28" t="b">
        <f ca="1"/>
        <v>0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6.75" x14ac:dyDescent="0.45">
      <c r="A29" s="187" t="str">
        <f t="shared" si="0"/>
        <v>D028</v>
      </c>
      <c r="B29" s="187" t="str">
        <f>VLOOKUP(C29,item!B:C,2,0)</f>
        <v>D</v>
      </c>
      <c r="C29" s="188" t="s">
        <v>707</v>
      </c>
      <c r="D29" s="189" t="s">
        <v>732</v>
      </c>
      <c r="E29" s="199" t="s">
        <v>729</v>
      </c>
      <c r="F29" s="189">
        <v>65513</v>
      </c>
      <c r="G29" s="232" t="s">
        <v>733</v>
      </c>
      <c r="H29" s="189">
        <v>411</v>
      </c>
      <c r="I29" s="192">
        <v>36617</v>
      </c>
      <c r="J29" s="193">
        <f>MONTH('Filter2-查詢2'!$I29)</f>
        <v>4</v>
      </c>
      <c r="K29" s="189"/>
      <c r="L29" s="194" t="s">
        <v>734</v>
      </c>
      <c r="V29" t="b">
        <f ca="1"/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30" x14ac:dyDescent="0.4">
      <c r="A30" s="177" t="str">
        <f t="shared" si="0"/>
        <v>D029</v>
      </c>
      <c r="B30" s="177" t="str">
        <f>VLOOKUP(C30,item!B:C,2,0)</f>
        <v>D</v>
      </c>
      <c r="C30" s="178" t="s">
        <v>707</v>
      </c>
      <c r="D30" s="179" t="s">
        <v>735</v>
      </c>
      <c r="E30" s="180" t="s">
        <v>736</v>
      </c>
      <c r="F30" s="181">
        <v>65013</v>
      </c>
      <c r="G30" s="182" t="s">
        <v>737</v>
      </c>
      <c r="H30" s="181">
        <v>308</v>
      </c>
      <c r="I30" s="183">
        <v>36647</v>
      </c>
      <c r="J30" s="184">
        <f>MONTH('Filter2-查詢2'!$I30)</f>
        <v>5</v>
      </c>
      <c r="K30" s="181"/>
      <c r="L30" s="186" t="s">
        <v>738</v>
      </c>
      <c r="V30" t="b">
        <f ca="1"/>
        <v>0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45" x14ac:dyDescent="0.4">
      <c r="A31" s="187" t="str">
        <f t="shared" si="0"/>
        <v>D030</v>
      </c>
      <c r="B31" s="187" t="str">
        <f>VLOOKUP(C31,item!B:C,2,0)</f>
        <v>D</v>
      </c>
      <c r="C31" s="188" t="s">
        <v>707</v>
      </c>
      <c r="D31" s="234" t="s">
        <v>739</v>
      </c>
      <c r="E31" s="235" t="s">
        <v>740</v>
      </c>
      <c r="F31" s="234" t="s">
        <v>741</v>
      </c>
      <c r="G31" s="236" t="s">
        <v>742</v>
      </c>
      <c r="H31" s="234" t="s">
        <v>743</v>
      </c>
      <c r="I31" s="192">
        <v>36678</v>
      </c>
      <c r="J31" s="193">
        <f>MONTH('Filter2-查詢2'!$I31)</f>
        <v>6</v>
      </c>
      <c r="K31" s="234"/>
      <c r="L31" s="194" t="s">
        <v>744</v>
      </c>
      <c r="V31" t="b">
        <f ca="1"/>
        <v>0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45" x14ac:dyDescent="0.4">
      <c r="A32" s="177" t="str">
        <f t="shared" si="0"/>
        <v>D031</v>
      </c>
      <c r="B32" s="177" t="str">
        <f>VLOOKUP(C32,item!B:C,2,0)</f>
        <v>D</v>
      </c>
      <c r="C32" s="178" t="s">
        <v>707</v>
      </c>
      <c r="D32" s="198" t="s">
        <v>745</v>
      </c>
      <c r="E32" s="237" t="s">
        <v>740</v>
      </c>
      <c r="F32" s="198" t="s">
        <v>741</v>
      </c>
      <c r="G32" s="197" t="s">
        <v>746</v>
      </c>
      <c r="H32" s="198" t="s">
        <v>743</v>
      </c>
      <c r="I32" s="183">
        <v>36708</v>
      </c>
      <c r="J32" s="184">
        <f>MONTH('Filter2-查詢2'!$I32)</f>
        <v>7</v>
      </c>
      <c r="K32" s="195"/>
      <c r="L32" s="186" t="s">
        <v>747</v>
      </c>
      <c r="V32" t="b">
        <f ca="1"/>
        <v>0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45" x14ac:dyDescent="0.4">
      <c r="A33" s="187" t="str">
        <f t="shared" si="0"/>
        <v>D032</v>
      </c>
      <c r="B33" s="187" t="str">
        <f>VLOOKUP(C33,item!B:C,2,0)</f>
        <v>D</v>
      </c>
      <c r="C33" s="188" t="s">
        <v>707</v>
      </c>
      <c r="D33" s="189" t="s">
        <v>748</v>
      </c>
      <c r="E33" s="199" t="s">
        <v>740</v>
      </c>
      <c r="F33" s="189" t="s">
        <v>741</v>
      </c>
      <c r="G33" s="191" t="s">
        <v>749</v>
      </c>
      <c r="H33" s="189" t="s">
        <v>743</v>
      </c>
      <c r="I33" s="192">
        <v>36739</v>
      </c>
      <c r="J33" s="193">
        <f>MONTH('Filter2-查詢2'!$I33)</f>
        <v>8</v>
      </c>
      <c r="K33" s="189"/>
      <c r="L33" s="194" t="s">
        <v>750</v>
      </c>
      <c r="V33" t="b">
        <f ca="1"/>
        <v>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x14ac:dyDescent="0.4">
      <c r="A34" s="177" t="str">
        <f t="shared" si="0"/>
        <v>E033</v>
      </c>
      <c r="B34" s="177" t="str">
        <f>VLOOKUP(C34,item!B:C,2,0)</f>
        <v>E</v>
      </c>
      <c r="C34" s="178" t="s">
        <v>751</v>
      </c>
      <c r="D34" s="179" t="s">
        <v>752</v>
      </c>
      <c r="E34" s="180" t="s">
        <v>660</v>
      </c>
      <c r="F34" s="181">
        <v>65003</v>
      </c>
      <c r="G34" s="182" t="s">
        <v>753</v>
      </c>
      <c r="H34" s="181">
        <v>215</v>
      </c>
      <c r="I34" s="183">
        <v>36770</v>
      </c>
      <c r="J34" s="184">
        <f>MONTH('Filter2-查詢2'!$I34)</f>
        <v>9</v>
      </c>
      <c r="K34" s="181"/>
      <c r="L34" s="186" t="s">
        <v>754</v>
      </c>
      <c r="V34" t="b">
        <f ca="1"/>
        <v>0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x14ac:dyDescent="0.4">
      <c r="A35" s="187" t="str">
        <f t="shared" si="0"/>
        <v>E034</v>
      </c>
      <c r="B35" s="187" t="str">
        <f>VLOOKUP(C35,item!B:C,2,0)</f>
        <v>E</v>
      </c>
      <c r="C35" s="188" t="s">
        <v>751</v>
      </c>
      <c r="D35" s="189" t="s">
        <v>755</v>
      </c>
      <c r="E35" s="213" t="s">
        <v>839</v>
      </c>
      <c r="F35" s="189">
        <v>65035</v>
      </c>
      <c r="G35" s="191" t="s">
        <v>756</v>
      </c>
      <c r="H35" s="189">
        <v>201</v>
      </c>
      <c r="I35" s="192">
        <v>36800</v>
      </c>
      <c r="J35" s="193">
        <f>MONTH('Filter2-查詢2'!$I35)</f>
        <v>10</v>
      </c>
      <c r="K35" s="189"/>
      <c r="L35" s="194" t="s">
        <v>757</v>
      </c>
      <c r="V35" t="b">
        <f ca="1"/>
        <v>0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x14ac:dyDescent="0.4">
      <c r="A36" s="177" t="str">
        <f t="shared" si="0"/>
        <v>E035</v>
      </c>
      <c r="B36" s="177" t="str">
        <f>VLOOKUP(C36,item!B:C,2,0)</f>
        <v>E</v>
      </c>
      <c r="C36" s="178" t="s">
        <v>751</v>
      </c>
      <c r="D36" s="198" t="s">
        <v>758</v>
      </c>
      <c r="E36" s="196" t="s">
        <v>641</v>
      </c>
      <c r="F36" s="201">
        <v>65042</v>
      </c>
      <c r="G36" s="228" t="s">
        <v>759</v>
      </c>
      <c r="H36" s="201">
        <v>200</v>
      </c>
      <c r="I36" s="183">
        <v>36831</v>
      </c>
      <c r="J36" s="184">
        <f>MONTH('Filter2-查詢2'!$I36)</f>
        <v>11</v>
      </c>
      <c r="K36" s="201"/>
      <c r="L36" s="186" t="s">
        <v>760</v>
      </c>
      <c r="V36" t="b">
        <f ca="1"/>
        <v>0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x14ac:dyDescent="0.4">
      <c r="A37" s="187" t="str">
        <f t="shared" si="0"/>
        <v>E036</v>
      </c>
      <c r="B37" s="187" t="str">
        <f>VLOOKUP(C37,item!B:C,2,0)</f>
        <v>E</v>
      </c>
      <c r="C37" s="188" t="s">
        <v>751</v>
      </c>
      <c r="D37" s="189" t="s">
        <v>761</v>
      </c>
      <c r="E37" s="199" t="s">
        <v>641</v>
      </c>
      <c r="F37" s="189">
        <v>65041</v>
      </c>
      <c r="G37" s="191" t="s">
        <v>762</v>
      </c>
      <c r="H37" s="189">
        <v>200</v>
      </c>
      <c r="I37" s="192">
        <v>36861</v>
      </c>
      <c r="J37" s="193">
        <f>MONTH('Filter2-查詢2'!$I37)</f>
        <v>12</v>
      </c>
      <c r="K37" s="189"/>
      <c r="L37" s="194" t="s">
        <v>763</v>
      </c>
      <c r="V37" t="b">
        <f ca="1"/>
        <v>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x14ac:dyDescent="0.4">
      <c r="A38" s="177" t="str">
        <f t="shared" si="0"/>
        <v>E037</v>
      </c>
      <c r="B38" s="177" t="str">
        <f>VLOOKUP(C38,item!B:C,2,0)</f>
        <v>E</v>
      </c>
      <c r="C38" s="178" t="s">
        <v>751</v>
      </c>
      <c r="D38" s="198"/>
      <c r="E38" s="196"/>
      <c r="F38" s="198">
        <v>65040</v>
      </c>
      <c r="G38" s="197"/>
      <c r="H38" s="198">
        <v>200</v>
      </c>
      <c r="I38" s="183">
        <v>36892</v>
      </c>
      <c r="J38" s="184">
        <f>MONTH('Filter2-查詢2'!$I38)</f>
        <v>1</v>
      </c>
      <c r="K38" s="198"/>
      <c r="L38" s="186" t="s">
        <v>764</v>
      </c>
      <c r="V38" t="b">
        <f ca="1"/>
        <v>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x14ac:dyDescent="0.4">
      <c r="A39" s="187" t="str">
        <f t="shared" si="0"/>
        <v>E038</v>
      </c>
      <c r="B39" s="187" t="str">
        <f>VLOOKUP(C39,item!B:C,2,0)</f>
        <v>E</v>
      </c>
      <c r="C39" s="188" t="s">
        <v>751</v>
      </c>
      <c r="D39" s="189" t="s">
        <v>765</v>
      </c>
      <c r="E39" s="199" t="s">
        <v>766</v>
      </c>
      <c r="F39" s="189">
        <v>65039</v>
      </c>
      <c r="G39" s="191" t="s">
        <v>767</v>
      </c>
      <c r="H39" s="189">
        <v>207</v>
      </c>
      <c r="I39" s="192">
        <v>36923</v>
      </c>
      <c r="J39" s="193">
        <f>MONTH('Filter2-查詢2'!$I39)</f>
        <v>2</v>
      </c>
      <c r="K39" s="189"/>
      <c r="L39" s="194" t="s">
        <v>768</v>
      </c>
      <c r="V39" t="b">
        <f ca="1"/>
        <v>0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x14ac:dyDescent="0.4">
      <c r="A40" s="177" t="str">
        <f t="shared" si="0"/>
        <v>E039</v>
      </c>
      <c r="B40" s="177" t="str">
        <f>VLOOKUP(C40,item!B:C,2,0)</f>
        <v>E</v>
      </c>
      <c r="C40" s="178" t="s">
        <v>751</v>
      </c>
      <c r="D40" s="214"/>
      <c r="E40" s="196"/>
      <c r="F40" s="198">
        <v>65037</v>
      </c>
      <c r="G40" s="197"/>
      <c r="H40" s="198">
        <v>207</v>
      </c>
      <c r="I40" s="183">
        <v>36951</v>
      </c>
      <c r="J40" s="184">
        <f>MONTH('Filter2-查詢2'!$I40)</f>
        <v>3</v>
      </c>
      <c r="K40" s="215"/>
      <c r="L40" s="186" t="s">
        <v>769</v>
      </c>
      <c r="V40" t="b">
        <f ca="1"/>
        <v>0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x14ac:dyDescent="0.4">
      <c r="A41" s="187" t="str">
        <f t="shared" si="0"/>
        <v>E040</v>
      </c>
      <c r="B41" s="187" t="str">
        <f>VLOOKUP(C41,item!B:C,2,0)</f>
        <v>E</v>
      </c>
      <c r="C41" s="188" t="s">
        <v>751</v>
      </c>
      <c r="D41" s="189" t="s">
        <v>770</v>
      </c>
      <c r="E41" s="199" t="s">
        <v>641</v>
      </c>
      <c r="F41" s="189">
        <v>65517</v>
      </c>
      <c r="G41" s="191" t="s">
        <v>771</v>
      </c>
      <c r="H41" s="189">
        <v>311</v>
      </c>
      <c r="I41" s="192">
        <v>36982</v>
      </c>
      <c r="J41" s="193">
        <f>MONTH('Filter2-查詢2'!$I41)</f>
        <v>4</v>
      </c>
      <c r="K41" s="189"/>
      <c r="L41" s="194" t="s">
        <v>772</v>
      </c>
      <c r="V41" t="b">
        <f ca="1"/>
        <v>1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x14ac:dyDescent="0.4">
      <c r="A42" s="177" t="str">
        <f t="shared" si="0"/>
        <v>E041</v>
      </c>
      <c r="B42" s="177" t="str">
        <f>VLOOKUP(C42,item!B:C,2,0)</f>
        <v>E</v>
      </c>
      <c r="C42" s="178" t="s">
        <v>751</v>
      </c>
      <c r="D42" s="198" t="s">
        <v>773</v>
      </c>
      <c r="E42" s="196" t="s">
        <v>649</v>
      </c>
      <c r="F42" s="198">
        <v>65514</v>
      </c>
      <c r="G42" s="197" t="s">
        <v>774</v>
      </c>
      <c r="H42" s="198">
        <v>311</v>
      </c>
      <c r="I42" s="183">
        <v>37012</v>
      </c>
      <c r="J42" s="184">
        <f>MONTH('Filter2-查詢2'!$I42)</f>
        <v>5</v>
      </c>
      <c r="K42" s="198"/>
      <c r="L42" s="186" t="s">
        <v>775</v>
      </c>
      <c r="V42" t="b">
        <f ca="1"/>
        <v>0</v>
      </c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x14ac:dyDescent="0.4">
      <c r="A43" s="187" t="str">
        <f t="shared" si="0"/>
        <v>E042</v>
      </c>
      <c r="B43" s="187" t="str">
        <f>VLOOKUP(C43,item!B:C,2,0)</f>
        <v>E</v>
      </c>
      <c r="C43" s="188" t="s">
        <v>751</v>
      </c>
      <c r="D43" s="238" t="s">
        <v>776</v>
      </c>
      <c r="E43" s="225" t="s">
        <v>641</v>
      </c>
      <c r="F43" s="226">
        <v>65515</v>
      </c>
      <c r="G43" s="239" t="s">
        <v>777</v>
      </c>
      <c r="H43" s="226">
        <v>311</v>
      </c>
      <c r="I43" s="192">
        <v>37043</v>
      </c>
      <c r="J43" s="193">
        <f>MONTH('Filter2-查詢2'!$I43)</f>
        <v>6</v>
      </c>
      <c r="K43" s="240"/>
      <c r="L43" s="194" t="s">
        <v>778</v>
      </c>
      <c r="V43" t="b">
        <f ca="1"/>
        <v>0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x14ac:dyDescent="0.4">
      <c r="A44" s="177" t="str">
        <f t="shared" si="0"/>
        <v>E043</v>
      </c>
      <c r="B44" s="177" t="str">
        <f>VLOOKUP(C44,item!B:C,2,0)</f>
        <v>E</v>
      </c>
      <c r="C44" s="178" t="s">
        <v>751</v>
      </c>
      <c r="D44" s="214" t="s">
        <v>779</v>
      </c>
      <c r="E44" s="196" t="s">
        <v>641</v>
      </c>
      <c r="F44" s="198">
        <v>65520</v>
      </c>
      <c r="G44" s="197" t="s">
        <v>780</v>
      </c>
      <c r="H44" s="198">
        <v>311</v>
      </c>
      <c r="I44" s="183">
        <v>37073</v>
      </c>
      <c r="J44" s="184">
        <f>MONTH('Filter2-查詢2'!$I44)</f>
        <v>7</v>
      </c>
      <c r="K44" s="215"/>
      <c r="L44" s="186" t="s">
        <v>781</v>
      </c>
      <c r="V44" t="b">
        <f ca="1"/>
        <v>0</v>
      </c>
      <c r="X44" s="23"/>
      <c r="Y44" s="23"/>
      <c r="Z44" s="23"/>
      <c r="AA44" s="23"/>
      <c r="AB44" s="23"/>
      <c r="AC44" s="23"/>
      <c r="AD44" s="23"/>
    </row>
    <row r="45" spans="1:35" x14ac:dyDescent="0.4">
      <c r="A45" s="187" t="str">
        <f t="shared" si="0"/>
        <v>E044</v>
      </c>
      <c r="B45" s="187" t="str">
        <f>VLOOKUP(C45,item!B:C,2,0)</f>
        <v>E</v>
      </c>
      <c r="C45" s="241" t="s">
        <v>751</v>
      </c>
      <c r="D45" s="189" t="s">
        <v>782</v>
      </c>
      <c r="E45" s="199" t="s">
        <v>641</v>
      </c>
      <c r="F45" s="189">
        <v>65524</v>
      </c>
      <c r="G45" s="191" t="s">
        <v>783</v>
      </c>
      <c r="H45" s="189">
        <v>311</v>
      </c>
      <c r="I45" s="192">
        <v>37104</v>
      </c>
      <c r="J45" s="193">
        <f>MONTH('Filter2-查詢2'!$I45)</f>
        <v>8</v>
      </c>
      <c r="K45" s="189"/>
      <c r="L45" s="194" t="s">
        <v>784</v>
      </c>
      <c r="V45" t="b">
        <f ca="1"/>
        <v>0</v>
      </c>
      <c r="X45" s="23"/>
      <c r="Y45" s="23"/>
      <c r="Z45" s="23"/>
      <c r="AA45" s="23"/>
      <c r="AB45" s="23"/>
      <c r="AC45" s="23"/>
      <c r="AD45" s="23"/>
    </row>
    <row r="46" spans="1:35" x14ac:dyDescent="0.4">
      <c r="A46" s="177" t="str">
        <f t="shared" si="0"/>
        <v>E045</v>
      </c>
      <c r="B46" s="177" t="str">
        <f>VLOOKUP(C46,item!B:C,2,0)</f>
        <v>E</v>
      </c>
      <c r="C46" s="242" t="s">
        <v>751</v>
      </c>
      <c r="D46" s="198" t="s">
        <v>785</v>
      </c>
      <c r="E46" s="196" t="s">
        <v>641</v>
      </c>
      <c r="F46" s="198">
        <v>65523</v>
      </c>
      <c r="G46" s="197" t="s">
        <v>786</v>
      </c>
      <c r="H46" s="198">
        <v>311</v>
      </c>
      <c r="I46" s="183">
        <v>37135</v>
      </c>
      <c r="J46" s="184">
        <f>MONTH('Filter2-查詢2'!$I46)</f>
        <v>9</v>
      </c>
      <c r="K46" s="198"/>
      <c r="L46" s="186" t="s">
        <v>787</v>
      </c>
      <c r="V46" t="b">
        <f ca="1"/>
        <v>0</v>
      </c>
      <c r="X46" s="23"/>
      <c r="Y46" s="23"/>
      <c r="Z46" s="23"/>
      <c r="AA46" s="23"/>
      <c r="AB46" s="23"/>
      <c r="AC46" s="23"/>
      <c r="AD46" s="23"/>
    </row>
    <row r="47" spans="1:35" x14ac:dyDescent="0.4">
      <c r="A47" s="187" t="str">
        <f t="shared" si="0"/>
        <v>E046</v>
      </c>
      <c r="B47" s="187" t="str">
        <f>VLOOKUP(C47,item!B:C,2,0)</f>
        <v>E</v>
      </c>
      <c r="C47" s="241" t="s">
        <v>751</v>
      </c>
      <c r="D47" s="189" t="s">
        <v>788</v>
      </c>
      <c r="E47" s="199" t="s">
        <v>641</v>
      </c>
      <c r="F47" s="189">
        <v>65521</v>
      </c>
      <c r="G47" s="191" t="s">
        <v>789</v>
      </c>
      <c r="H47" s="189">
        <v>315</v>
      </c>
      <c r="I47" s="192">
        <v>37165</v>
      </c>
      <c r="J47" s="193">
        <f>MONTH('Filter2-查詢2'!$I47)</f>
        <v>10</v>
      </c>
      <c r="K47" s="189"/>
      <c r="L47" s="194" t="s">
        <v>790</v>
      </c>
      <c r="V47" t="b">
        <f ca="1"/>
        <v>0</v>
      </c>
      <c r="X47" s="23"/>
      <c r="Y47" s="23"/>
      <c r="Z47" s="23"/>
      <c r="AA47" s="23"/>
      <c r="AB47" s="23"/>
      <c r="AC47" s="23"/>
      <c r="AD47" s="23"/>
    </row>
    <row r="48" spans="1:35" x14ac:dyDescent="0.4">
      <c r="A48" s="177" t="str">
        <f t="shared" si="0"/>
        <v>E047</v>
      </c>
      <c r="B48" s="177" t="str">
        <f>VLOOKUP(C48,item!B:C,2,0)</f>
        <v>E</v>
      </c>
      <c r="C48" s="242" t="s">
        <v>751</v>
      </c>
      <c r="D48" s="198" t="s">
        <v>791</v>
      </c>
      <c r="E48" s="196" t="s">
        <v>641</v>
      </c>
      <c r="F48" s="198">
        <v>65518</v>
      </c>
      <c r="G48" s="197" t="s">
        <v>792</v>
      </c>
      <c r="H48" s="198">
        <v>315</v>
      </c>
      <c r="I48" s="183">
        <v>37196</v>
      </c>
      <c r="J48" s="184">
        <f>MONTH('Filter2-查詢2'!$I48)</f>
        <v>11</v>
      </c>
      <c r="K48" s="198"/>
      <c r="L48" s="186" t="s">
        <v>793</v>
      </c>
      <c r="V48" t="b">
        <f ca="1"/>
        <v>0</v>
      </c>
      <c r="X48" s="23"/>
      <c r="Y48" s="23"/>
      <c r="Z48" s="23"/>
      <c r="AA48" s="23"/>
      <c r="AB48" s="23"/>
      <c r="AC48" s="23"/>
      <c r="AD48" s="23"/>
    </row>
    <row r="49" spans="1:30" x14ac:dyDescent="0.4">
      <c r="A49" s="187" t="str">
        <f t="shared" si="0"/>
        <v>E048</v>
      </c>
      <c r="B49" s="187" t="str">
        <f>VLOOKUP(C49,item!B:C,2,0)</f>
        <v>E</v>
      </c>
      <c r="C49" s="241" t="s">
        <v>751</v>
      </c>
      <c r="D49" s="226"/>
      <c r="E49" s="199" t="s">
        <v>641</v>
      </c>
      <c r="F49" s="189">
        <v>65516</v>
      </c>
      <c r="G49" s="191"/>
      <c r="H49" s="189">
        <v>315</v>
      </c>
      <c r="I49" s="192">
        <v>37226</v>
      </c>
      <c r="J49" s="193">
        <f>MONTH('Filter2-查詢2'!$I49)</f>
        <v>12</v>
      </c>
      <c r="K49" s="240"/>
      <c r="L49" s="194" t="s">
        <v>794</v>
      </c>
      <c r="V49" t="b">
        <f ca="1"/>
        <v>0</v>
      </c>
      <c r="X49" s="23"/>
      <c r="Y49" s="23"/>
      <c r="Z49" s="23"/>
      <c r="AA49" s="23"/>
      <c r="AB49" s="23"/>
      <c r="AC49" s="23"/>
      <c r="AD49" s="23"/>
    </row>
    <row r="50" spans="1:30" x14ac:dyDescent="0.4">
      <c r="A50" s="177" t="str">
        <f t="shared" si="0"/>
        <v>E049</v>
      </c>
      <c r="B50" s="177" t="str">
        <f>VLOOKUP(C50,item!B:C,2,0)</f>
        <v>E</v>
      </c>
      <c r="C50" s="242" t="s">
        <v>751</v>
      </c>
      <c r="D50" s="198" t="s">
        <v>795</v>
      </c>
      <c r="E50" s="196" t="s">
        <v>641</v>
      </c>
      <c r="F50" s="198">
        <v>65056</v>
      </c>
      <c r="G50" s="197" t="s">
        <v>796</v>
      </c>
      <c r="H50" s="198">
        <v>316</v>
      </c>
      <c r="I50" s="183">
        <v>37257</v>
      </c>
      <c r="J50" s="184">
        <f>MONTH('Filter2-查詢2'!$I50)</f>
        <v>1</v>
      </c>
      <c r="K50" s="198"/>
      <c r="L50" s="186" t="s">
        <v>797</v>
      </c>
      <c r="V50" t="b">
        <f ca="1"/>
        <v>0</v>
      </c>
    </row>
    <row r="51" spans="1:30" x14ac:dyDescent="0.4">
      <c r="A51" s="187" t="str">
        <f t="shared" si="0"/>
        <v>E050</v>
      </c>
      <c r="B51" s="187" t="str">
        <f>VLOOKUP(C51,item!B:C,2,0)</f>
        <v>E</v>
      </c>
      <c r="C51" s="241" t="s">
        <v>751</v>
      </c>
      <c r="D51" s="189" t="s">
        <v>798</v>
      </c>
      <c r="E51" s="199" t="s">
        <v>641</v>
      </c>
      <c r="F51" s="203">
        <v>65032</v>
      </c>
      <c r="G51" s="204" t="s">
        <v>799</v>
      </c>
      <c r="H51" s="203">
        <v>316</v>
      </c>
      <c r="I51" s="192">
        <v>37288</v>
      </c>
      <c r="J51" s="193">
        <f>MONTH('Filter2-查詢2'!$I51)</f>
        <v>2</v>
      </c>
      <c r="K51" s="203"/>
      <c r="L51" s="194" t="s">
        <v>800</v>
      </c>
      <c r="V51" t="b">
        <f ca="1"/>
        <v>0</v>
      </c>
    </row>
    <row r="52" spans="1:30" x14ac:dyDescent="0.4">
      <c r="A52" s="177" t="str">
        <f t="shared" si="0"/>
        <v>E051</v>
      </c>
      <c r="B52" s="177" t="str">
        <f>VLOOKUP(C52,item!B:C,2,0)</f>
        <v>E</v>
      </c>
      <c r="C52" s="242" t="s">
        <v>751</v>
      </c>
      <c r="D52" s="243" t="s">
        <v>801</v>
      </c>
      <c r="E52" s="196" t="s">
        <v>641</v>
      </c>
      <c r="F52" s="201">
        <v>65025</v>
      </c>
      <c r="G52" s="228" t="s">
        <v>802</v>
      </c>
      <c r="H52" s="201">
        <v>316</v>
      </c>
      <c r="I52" s="183">
        <v>37316</v>
      </c>
      <c r="J52" s="184">
        <f>MONTH('Filter2-查詢2'!$I52)</f>
        <v>3</v>
      </c>
      <c r="K52" s="201"/>
      <c r="L52" s="186" t="s">
        <v>803</v>
      </c>
      <c r="V52" t="b">
        <f ca="1"/>
        <v>0</v>
      </c>
    </row>
    <row r="53" spans="1:30" ht="30" x14ac:dyDescent="0.4">
      <c r="A53" s="187" t="str">
        <f t="shared" si="0"/>
        <v>E052</v>
      </c>
      <c r="B53" s="187" t="str">
        <f>VLOOKUP(C53,item!B:C,2,0)</f>
        <v>E</v>
      </c>
      <c r="C53" s="241" t="s">
        <v>751</v>
      </c>
      <c r="D53" s="189" t="s">
        <v>804</v>
      </c>
      <c r="E53" s="199" t="s">
        <v>805</v>
      </c>
      <c r="F53" s="203">
        <v>65015</v>
      </c>
      <c r="G53" s="204" t="s">
        <v>806</v>
      </c>
      <c r="H53" s="203">
        <v>407</v>
      </c>
      <c r="I53" s="192">
        <v>37347</v>
      </c>
      <c r="J53" s="193">
        <f>MONTH('Filter2-查詢2'!$I53)</f>
        <v>4</v>
      </c>
      <c r="K53" s="203"/>
      <c r="L53" s="194" t="s">
        <v>807</v>
      </c>
      <c r="V53" t="b">
        <f ca="1"/>
        <v>1</v>
      </c>
    </row>
    <row r="54" spans="1:30" x14ac:dyDescent="0.4">
      <c r="A54" s="244" t="str">
        <f t="shared" si="0"/>
        <v>E053</v>
      </c>
      <c r="B54" s="244" t="str">
        <f>VLOOKUP(C54,item!B:C,2,0)</f>
        <v>E</v>
      </c>
      <c r="C54" s="245" t="s">
        <v>751</v>
      </c>
      <c r="D54" s="246" t="s">
        <v>808</v>
      </c>
      <c r="E54" s="247" t="s">
        <v>712</v>
      </c>
      <c r="F54" s="244">
        <v>65054</v>
      </c>
      <c r="G54" s="248" t="s">
        <v>809</v>
      </c>
      <c r="H54" s="244">
        <v>409</v>
      </c>
      <c r="I54" s="249">
        <v>37377</v>
      </c>
      <c r="J54" s="250">
        <f>MONTH('Filter2-查詢2'!$I54)</f>
        <v>5</v>
      </c>
      <c r="K54" s="244"/>
      <c r="L54" s="251" t="s">
        <v>810</v>
      </c>
      <c r="V54" t="b">
        <f ca="1"/>
        <v>0</v>
      </c>
    </row>
  </sheetData>
  <phoneticPr fontId="14" type="noConversion"/>
  <conditionalFormatting sqref="C1:D10 K1 F1:I10 J2:K10">
    <cfRule type="expression" dxfId="747" priority="169">
      <formula>#REF!="程式組"</formula>
    </cfRule>
    <cfRule type="expression" dxfId="746" priority="170">
      <formula>#REF!="網路組"</formula>
    </cfRule>
  </conditionalFormatting>
  <conditionalFormatting sqref="C1:D21 K1 F1:I21 J2:K21">
    <cfRule type="expression" dxfId="745" priority="171">
      <formula>#REF!="作業組"</formula>
    </cfRule>
    <cfRule type="expression" dxfId="744" priority="172">
      <formula>#REF!="教學組"</formula>
    </cfRule>
    <cfRule type="expression" dxfId="743" priority="173">
      <formula>#REF!="行政室"</formula>
    </cfRule>
  </conditionalFormatting>
  <conditionalFormatting sqref="C11:D21 F11:K21">
    <cfRule type="expression" dxfId="742" priority="174">
      <formula>#REF!="程式組"</formula>
    </cfRule>
    <cfRule type="expression" dxfId="741" priority="175">
      <formula>#REF!="網路組"</formula>
    </cfRule>
  </conditionalFormatting>
  <conditionalFormatting sqref="I55:J65522 I1:I54 J2:J54">
    <cfRule type="cellIs" dxfId="740" priority="168" stopIfTrue="1" operator="notEqual">
      <formula>#REF!</formula>
    </cfRule>
  </conditionalFormatting>
  <conditionalFormatting sqref="O1 K55:L58 K1:L1 F1:I54 J2:L54 F59:L1048576 C1:E1048576">
    <cfRule type="expression" dxfId="739" priority="163">
      <formula>$A1="程式組"</formula>
    </cfRule>
    <cfRule type="expression" dxfId="738" priority="164">
      <formula>$A1="網路組"</formula>
    </cfRule>
    <cfRule type="expression" dxfId="737" priority="165">
      <formula>$A1="作業組"</formula>
    </cfRule>
    <cfRule type="expression" dxfId="736" priority="166">
      <formula>$A1="教學組"</formula>
    </cfRule>
    <cfRule type="expression" dxfId="735" priority="167">
      <formula>$A1="行政室"</formula>
    </cfRule>
  </conditionalFormatting>
  <conditionalFormatting sqref="O1">
    <cfRule type="cellIs" dxfId="734" priority="156" stopIfTrue="1" operator="notEqual">
      <formula>#REF!</formula>
    </cfRule>
    <cfRule type="expression" dxfId="733" priority="157">
      <formula>#REF!="程式組"</formula>
    </cfRule>
    <cfRule type="expression" dxfId="732" priority="158">
      <formula>#REF!="網路組"</formula>
    </cfRule>
    <cfRule type="expression" dxfId="731" priority="159">
      <formula>#REF!="作業組"</formula>
    </cfRule>
    <cfRule type="expression" dxfId="730" priority="160">
      <formula>#REF!="教學組"</formula>
    </cfRule>
    <cfRule type="expression" dxfId="729" priority="161">
      <formula>#REF!="行政室"</formula>
    </cfRule>
  </conditionalFormatting>
  <conditionalFormatting sqref="O1">
    <cfRule type="expression" dxfId="728" priority="151">
      <formula>#REF!="程式組"</formula>
    </cfRule>
    <cfRule type="expression" dxfId="727" priority="152">
      <formula>#REF!="網路組"</formula>
    </cfRule>
    <cfRule type="expression" dxfId="726" priority="153">
      <formula>#REF!="作業組"</formula>
    </cfRule>
    <cfRule type="expression" dxfId="725" priority="154">
      <formula>#REF!="教學組"</formula>
    </cfRule>
    <cfRule type="expression" dxfId="724" priority="155">
      <formula>#REF!="行政室"</formula>
    </cfRule>
  </conditionalFormatting>
  <conditionalFormatting sqref="X6:AH6">
    <cfRule type="cellIs" dxfId="723" priority="138" stopIfTrue="1" operator="notEqual">
      <formula>#REF!</formula>
    </cfRule>
    <cfRule type="expression" dxfId="722" priority="139">
      <formula>#REF!="程式組"</formula>
    </cfRule>
    <cfRule type="expression" dxfId="721" priority="140">
      <formula>#REF!="網路組"</formula>
    </cfRule>
    <cfRule type="expression" dxfId="720" priority="141">
      <formula>#REF!="作業組"</formula>
    </cfRule>
    <cfRule type="expression" dxfId="719" priority="142">
      <formula>#REF!="教學組"</formula>
    </cfRule>
    <cfRule type="expression" dxfId="718" priority="143">
      <formula>#REF!="行政室"</formula>
    </cfRule>
    <cfRule type="expression" dxfId="717" priority="144">
      <formula>#REF!="程式組"</formula>
    </cfRule>
    <cfRule type="expression" dxfId="716" priority="145">
      <formula>#REF!="網路組"</formula>
    </cfRule>
    <cfRule type="expression" dxfId="715" priority="146">
      <formula>$A12="程式組"</formula>
    </cfRule>
    <cfRule type="expression" dxfId="714" priority="147">
      <formula>$A12="網路組"</formula>
    </cfRule>
    <cfRule type="expression" dxfId="713" priority="148">
      <formula>$A12="作業組"</formula>
    </cfRule>
    <cfRule type="expression" dxfId="712" priority="149">
      <formula>$A12="教學組"</formula>
    </cfRule>
    <cfRule type="expression" dxfId="711" priority="150">
      <formula>$A12="行政室"</formula>
    </cfRule>
  </conditionalFormatting>
  <conditionalFormatting sqref="Y1">
    <cfRule type="cellIs" dxfId="710" priority="125" stopIfTrue="1" operator="notEqual">
      <formula>#REF!</formula>
    </cfRule>
    <cfRule type="expression" dxfId="709" priority="126">
      <formula>#REF!="程式組"</formula>
    </cfRule>
    <cfRule type="expression" dxfId="708" priority="127">
      <formula>#REF!="網路組"</formula>
    </cfRule>
    <cfRule type="expression" dxfId="707" priority="128">
      <formula>#REF!="作業組"</formula>
    </cfRule>
    <cfRule type="expression" dxfId="706" priority="129">
      <formula>#REF!="教學組"</formula>
    </cfRule>
    <cfRule type="expression" dxfId="705" priority="130">
      <formula>#REF!="行政室"</formula>
    </cfRule>
    <cfRule type="expression" dxfId="704" priority="131">
      <formula>#REF!="程式組"</formula>
    </cfRule>
    <cfRule type="expression" dxfId="703" priority="132">
      <formula>#REF!="網路組"</formula>
    </cfRule>
    <cfRule type="expression" dxfId="702" priority="133">
      <formula>$A9="程式組"</formula>
    </cfRule>
    <cfRule type="expression" dxfId="701" priority="134">
      <formula>$A9="網路組"</formula>
    </cfRule>
    <cfRule type="expression" dxfId="700" priority="135">
      <formula>$A9="作業組"</formula>
    </cfRule>
    <cfRule type="expression" dxfId="699" priority="136">
      <formula>$A9="教學組"</formula>
    </cfRule>
    <cfRule type="expression" dxfId="698" priority="137">
      <formula>$A9="行政室"</formula>
    </cfRule>
  </conditionalFormatting>
  <conditionalFormatting sqref="E1:E10">
    <cfRule type="expression" dxfId="697" priority="118">
      <formula>#REF!="程式組"</formula>
    </cfRule>
    <cfRule type="expression" dxfId="696" priority="119">
      <formula>#REF!="網路組"</formula>
    </cfRule>
  </conditionalFormatting>
  <conditionalFormatting sqref="E1:E21">
    <cfRule type="expression" dxfId="695" priority="120">
      <formula>#REF!="作業組"</formula>
    </cfRule>
    <cfRule type="expression" dxfId="694" priority="121">
      <formula>#REF!="教學組"</formula>
    </cfRule>
    <cfRule type="expression" dxfId="693" priority="122">
      <formula>#REF!="行政室"</formula>
    </cfRule>
  </conditionalFormatting>
  <conditionalFormatting sqref="E11:E21">
    <cfRule type="expression" dxfId="692" priority="123">
      <formula>#REF!="程式組"</formula>
    </cfRule>
    <cfRule type="expression" dxfId="691" priority="124">
      <formula>#REF!="網路組"</formula>
    </cfRule>
  </conditionalFormatting>
  <conditionalFormatting sqref="E35">
    <cfRule type="expression" dxfId="690" priority="108">
      <formula>#REF!="作業組"</formula>
    </cfRule>
    <cfRule type="expression" dxfId="689" priority="109">
      <formula>#REF!="教學組"</formula>
    </cfRule>
    <cfRule type="expression" dxfId="688" priority="110">
      <formula>#REF!="行政室"</formula>
    </cfRule>
  </conditionalFormatting>
  <conditionalFormatting sqref="E35">
    <cfRule type="expression" dxfId="687" priority="111">
      <formula>#REF!="程式組"</formula>
    </cfRule>
    <cfRule type="expression" dxfId="686" priority="112">
      <formula>#REF!="網路組"</formula>
    </cfRule>
  </conditionalFormatting>
  <conditionalFormatting sqref="Q1">
    <cfRule type="expression" dxfId="685" priority="103">
      <formula>$A1="程式組"</formula>
    </cfRule>
    <cfRule type="expression" dxfId="684" priority="104">
      <formula>$A1="網路組"</formula>
    </cfRule>
    <cfRule type="expression" dxfId="683" priority="105">
      <formula>$A1="作業組"</formula>
    </cfRule>
    <cfRule type="expression" dxfId="682" priority="106">
      <formula>$A1="教學組"</formula>
    </cfRule>
    <cfRule type="expression" dxfId="681" priority="107">
      <formula>$A1="行政室"</formula>
    </cfRule>
  </conditionalFormatting>
  <conditionalFormatting sqref="Q1">
    <cfRule type="cellIs" dxfId="680" priority="97" stopIfTrue="1" operator="notEqual">
      <formula>#REF!</formula>
    </cfRule>
    <cfRule type="expression" dxfId="679" priority="98">
      <formula>#REF!="程式組"</formula>
    </cfRule>
    <cfRule type="expression" dxfId="678" priority="99">
      <formula>#REF!="網路組"</formula>
    </cfRule>
    <cfRule type="expression" dxfId="677" priority="100">
      <formula>#REF!="作業組"</formula>
    </cfRule>
    <cfRule type="expression" dxfId="676" priority="101">
      <formula>#REF!="教學組"</formula>
    </cfRule>
    <cfRule type="expression" dxfId="675" priority="102">
      <formula>#REF!="行政室"</formula>
    </cfRule>
  </conditionalFormatting>
  <conditionalFormatting sqref="Q1">
    <cfRule type="expression" dxfId="674" priority="92">
      <formula>#REF!="程式組"</formula>
    </cfRule>
    <cfRule type="expression" dxfId="673" priority="93">
      <formula>#REF!="網路組"</formula>
    </cfRule>
    <cfRule type="expression" dxfId="672" priority="94">
      <formula>#REF!="作業組"</formula>
    </cfRule>
    <cfRule type="expression" dxfId="671" priority="95">
      <formula>#REF!="教學組"</formula>
    </cfRule>
    <cfRule type="expression" dxfId="670" priority="96">
      <formula>#REF!="行政室"</formula>
    </cfRule>
  </conditionalFormatting>
  <conditionalFormatting sqref="AF1">
    <cfRule type="cellIs" dxfId="669" priority="79" stopIfTrue="1" operator="notEqual">
      <formula>#REF!</formula>
    </cfRule>
    <cfRule type="expression" dxfId="668" priority="80">
      <formula>#REF!="程式組"</formula>
    </cfRule>
    <cfRule type="expression" dxfId="667" priority="81">
      <formula>#REF!="網路組"</formula>
    </cfRule>
    <cfRule type="expression" dxfId="666" priority="82">
      <formula>#REF!="作業組"</formula>
    </cfRule>
    <cfRule type="expression" dxfId="665" priority="83">
      <formula>#REF!="教學組"</formula>
    </cfRule>
    <cfRule type="expression" dxfId="664" priority="84">
      <formula>#REF!="行政室"</formula>
    </cfRule>
    <cfRule type="expression" dxfId="663" priority="85">
      <formula>#REF!="程式組"</formula>
    </cfRule>
    <cfRule type="expression" dxfId="662" priority="86">
      <formula>#REF!="網路組"</formula>
    </cfRule>
    <cfRule type="expression" dxfId="661" priority="87">
      <formula>$A9="程式組"</formula>
    </cfRule>
    <cfRule type="expression" dxfId="660" priority="88">
      <formula>$A9="網路組"</formula>
    </cfRule>
    <cfRule type="expression" dxfId="659" priority="89">
      <formula>$A9="作業組"</formula>
    </cfRule>
    <cfRule type="expression" dxfId="658" priority="90">
      <formula>$A9="教學組"</formula>
    </cfRule>
    <cfRule type="expression" dxfId="657" priority="91">
      <formula>$A9="行政室"</formula>
    </cfRule>
  </conditionalFormatting>
  <conditionalFormatting sqref="X15:AH15">
    <cfRule type="cellIs" dxfId="656" priority="66" stopIfTrue="1" operator="notEqual">
      <formula>#REF!</formula>
    </cfRule>
    <cfRule type="expression" dxfId="655" priority="67">
      <formula>#REF!="程式組"</formula>
    </cfRule>
    <cfRule type="expression" dxfId="654" priority="68">
      <formula>#REF!="網路組"</formula>
    </cfRule>
    <cfRule type="expression" dxfId="653" priority="69">
      <formula>#REF!="作業組"</formula>
    </cfRule>
    <cfRule type="expression" dxfId="652" priority="70">
      <formula>#REF!="教學組"</formula>
    </cfRule>
    <cfRule type="expression" dxfId="651" priority="71">
      <formula>#REF!="行政室"</formula>
    </cfRule>
    <cfRule type="expression" dxfId="650" priority="72">
      <formula>#REF!="程式組"</formula>
    </cfRule>
    <cfRule type="expression" dxfId="649" priority="73">
      <formula>#REF!="網路組"</formula>
    </cfRule>
    <cfRule type="expression" dxfId="648" priority="74">
      <formula>$A23="程式組"</formula>
    </cfRule>
    <cfRule type="expression" dxfId="647" priority="75">
      <formula>$A23="網路組"</formula>
    </cfRule>
    <cfRule type="expression" dxfId="646" priority="76">
      <formula>$A23="作業組"</formula>
    </cfRule>
    <cfRule type="expression" dxfId="645" priority="77">
      <formula>$A23="教學組"</formula>
    </cfRule>
    <cfRule type="expression" dxfId="644" priority="78">
      <formula>$A23="行政室"</formula>
    </cfRule>
  </conditionalFormatting>
  <conditionalFormatting sqref="X13">
    <cfRule type="cellIs" dxfId="643" priority="53" stopIfTrue="1" operator="notEqual">
      <formula>#REF!</formula>
    </cfRule>
    <cfRule type="expression" dxfId="642" priority="54">
      <formula>#REF!="程式組"</formula>
    </cfRule>
    <cfRule type="expression" dxfId="641" priority="55">
      <formula>#REF!="網路組"</formula>
    </cfRule>
    <cfRule type="expression" dxfId="640" priority="56">
      <formula>#REF!="作業組"</formula>
    </cfRule>
    <cfRule type="expression" dxfId="639" priority="57">
      <formula>#REF!="教學組"</formula>
    </cfRule>
    <cfRule type="expression" dxfId="638" priority="58">
      <formula>#REF!="行政室"</formula>
    </cfRule>
    <cfRule type="expression" dxfId="637" priority="59">
      <formula>#REF!="程式組"</formula>
    </cfRule>
    <cfRule type="expression" dxfId="636" priority="60">
      <formula>#REF!="網路組"</formula>
    </cfRule>
    <cfRule type="expression" dxfId="635" priority="61">
      <formula>$A20="程式組"</formula>
    </cfRule>
    <cfRule type="expression" dxfId="634" priority="62">
      <formula>$A20="網路組"</formula>
    </cfRule>
    <cfRule type="expression" dxfId="633" priority="63">
      <formula>$A20="作業組"</formula>
    </cfRule>
    <cfRule type="expression" dxfId="632" priority="64">
      <formula>$A20="教學組"</formula>
    </cfRule>
    <cfRule type="expression" dxfId="631" priority="65">
      <formula>$A20="行政室"</formula>
    </cfRule>
  </conditionalFormatting>
  <dataValidations count="3">
    <dataValidation type="list" allowBlank="1" showInputMessage="1" showErrorMessage="1" sqref="O2 Z7 Y2" xr:uid="{7629C412-7D4A-405B-A9EF-D61431BE1A91}">
      <formula1>OFFSET(組別,1,0,COUNTA(組別)-1,1)</formula1>
    </dataValidation>
    <dataValidation type="list" allowBlank="1" showInputMessage="1" showErrorMessage="1" sqref="AC2 X2" xr:uid="{6CF4C9AF-D57C-47AA-9A2A-9C62128B1B6A}">
      <formula1>OFFSET(月份,1,0,COUNTA(月份)-1,1)</formula1>
    </dataValidation>
    <dataValidation type="list" allowBlank="1" showInputMessage="1" showErrorMessage="1" sqref="AB2" xr:uid="{631F7458-D6D3-4349-BD71-7BD49FFD1427}">
      <formula1>$S:$S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29E451-573B-4FEC-B872-A03405FD9730}">
          <x14:formula1>
            <xm:f>_xlfn.ANCHORARRAY(item!$E$2)</xm:f>
          </x14:formula1>
          <xm:sqref>AE2</xm:sqref>
        </x14:dataValidation>
        <x14:dataValidation type="list" allowBlank="1" showInputMessage="1" showErrorMessage="1" xr:uid="{95DFF8C3-B01E-48EB-B0F8-4AF6D95F3AE3}">
          <x14:formula1>
            <xm:f>_xlfn.ANCHORARRAY(item!$B$2)</xm:f>
          </x14:formula1>
          <xm:sqref>AF2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A1F4-4239-463B-AAF8-E9973B7B959B}">
  <sheetPr>
    <tabColor theme="7"/>
  </sheetPr>
  <dimension ref="A1:AG58"/>
  <sheetViews>
    <sheetView topLeftCell="A4" workbookViewId="0">
      <selection activeCell="R2" sqref="R2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9.4140625" style="99" customWidth="1"/>
    <col min="4" max="4" width="8.832031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6.33203125" style="101" bestFit="1" customWidth="1"/>
    <col min="11" max="11" width="5.5" style="100" bestFit="1" customWidth="1"/>
    <col min="12" max="12" width="4.33203125" style="23" customWidth="1"/>
    <col min="13" max="14" width="4.58203125" customWidth="1"/>
    <col min="16" max="16" width="13.83203125" customWidth="1"/>
    <col min="17" max="17" width="6.33203125" customWidth="1"/>
    <col min="18" max="18" width="10.58203125" customWidth="1"/>
    <col min="19" max="19" width="7.58203125" customWidth="1"/>
    <col min="20" max="20" width="8" customWidth="1"/>
    <col min="21" max="21" width="9.58203125" customWidth="1"/>
    <col min="22" max="22" width="11.08203125" bestFit="1" customWidth="1"/>
    <col min="23" max="23" width="9.4140625" customWidth="1"/>
    <col min="24" max="24" width="6.08203125" customWidth="1"/>
    <col min="27" max="27" width="8.5" customWidth="1"/>
    <col min="28" max="28" width="7.33203125" customWidth="1"/>
    <col min="29" max="29" width="7.83203125" customWidth="1"/>
    <col min="30" max="30" width="7.6640625" customWidth="1"/>
    <col min="31" max="31" width="10.5" customWidth="1"/>
    <col min="32" max="32" width="5.83203125" bestFit="1" customWidth="1"/>
    <col min="33" max="33" width="3.58203125" bestFit="1" customWidth="1"/>
  </cols>
  <sheetData>
    <row r="1" spans="1:33" ht="30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5" t="s">
        <v>851</v>
      </c>
      <c r="K1" s="33" t="s">
        <v>630</v>
      </c>
      <c r="L1" s="36" t="s">
        <v>631</v>
      </c>
      <c r="O1" s="116" t="s">
        <v>623</v>
      </c>
      <c r="P1" t="s">
        <v>824</v>
      </c>
      <c r="Q1" s="127"/>
      <c r="R1" s="130" t="s">
        <v>822</v>
      </c>
      <c r="S1" s="130" t="s">
        <v>833</v>
      </c>
      <c r="T1" s="130" t="s">
        <v>834</v>
      </c>
      <c r="U1" s="127"/>
      <c r="V1" s="35" t="s">
        <v>822</v>
      </c>
      <c r="W1" s="33" t="str">
        <f t="shared" ref="W1:AE1" si="0">A1</f>
        <v>ID</v>
      </c>
      <c r="X1" s="33" t="str">
        <f t="shared" si="0"/>
        <v>Code_dpt</v>
      </c>
      <c r="Y1" s="33" t="str">
        <f t="shared" si="0"/>
        <v>組別</v>
      </c>
      <c r="Z1" s="33" t="str">
        <f t="shared" si="0"/>
        <v>姓名</v>
      </c>
      <c r="AA1" s="33" t="str">
        <f t="shared" si="0"/>
        <v>職稱</v>
      </c>
      <c r="AB1" s="33" t="str">
        <f t="shared" si="0"/>
        <v>電話</v>
      </c>
      <c r="AC1" s="33" t="str">
        <f t="shared" si="0"/>
        <v>email</v>
      </c>
      <c r="AD1" s="33" t="str">
        <f t="shared" si="0"/>
        <v>辦公室</v>
      </c>
      <c r="AE1" s="33" t="str">
        <f t="shared" si="0"/>
        <v>到職日期</v>
      </c>
      <c r="AF1" s="33" t="str">
        <f t="shared" ref="AF1:AG1" si="1">K1</f>
        <v>備註</v>
      </c>
      <c r="AG1" s="33" t="str">
        <f t="shared" si="1"/>
        <v>NO</v>
      </c>
    </row>
    <row r="2" spans="1:33" ht="46.3" x14ac:dyDescent="0.4">
      <c r="A2" s="42" t="str">
        <f>B2&amp;TEXT(ROW()-1,"000")</f>
        <v>A001</v>
      </c>
      <c r="B2" s="42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165">
        <f>MONTH(I2)</f>
        <v>1</v>
      </c>
      <c r="K2" s="49"/>
      <c r="L2" s="50" t="s">
        <v>636</v>
      </c>
      <c r="O2" t="s">
        <v>632</v>
      </c>
      <c r="P2" s="126" t="s">
        <v>821</v>
      </c>
      <c r="Q2" s="114"/>
      <c r="R2" s="129">
        <v>2</v>
      </c>
      <c r="S2" s="26" t="s">
        <v>658</v>
      </c>
      <c r="T2" s="27" t="s">
        <v>641</v>
      </c>
      <c r="U2" s="114"/>
      <c r="V2" t="e" cm="1">
        <f t="array" ref="V2">_xlfn._xlws.FILTER(staff,(MONTH(到職日期)=R2)*(組別=S2)*(職稱=T2),"本月無資料")</f>
        <v>#N/A</v>
      </c>
      <c r="W2" t="str" cm="1">
        <f t="array" ref="W2:AG6">_xlfn._xlws.FILTER(staff,MONTH(到職日期)=R2,"本月無資料")</f>
        <v>A002</v>
      </c>
      <c r="X2" t="str">
        <v>A</v>
      </c>
      <c r="Y2" t="str">
        <v>行政室</v>
      </c>
      <c r="Z2" t="str">
        <v>陳雅君</v>
      </c>
      <c r="AA2" t="str">
        <v>幹事</v>
      </c>
      <c r="AB2">
        <v>65050</v>
      </c>
      <c r="AC2" t="str">
        <v>yachun2240@ntu.edu.tw</v>
      </c>
      <c r="AD2">
        <v>216</v>
      </c>
      <c r="AE2" s="128">
        <v>35827</v>
      </c>
      <c r="AF2">
        <v>0</v>
      </c>
      <c r="AG2" t="str">
        <v>02</v>
      </c>
    </row>
    <row r="3" spans="1:33" x14ac:dyDescent="0.4">
      <c r="A3" s="42" t="str">
        <f t="shared" ref="A3:A54" si="2">B3&amp;TEXT(ROW()-1,"000")</f>
        <v>A002</v>
      </c>
      <c r="B3" s="42" t="str">
        <f>VLOOKUP(C3,item!B:C,2,0)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165">
        <f t="shared" ref="J3:J54" si="3">MONTH(I3)</f>
        <v>2</v>
      </c>
      <c r="K3" s="56"/>
      <c r="L3" s="50" t="s">
        <v>643</v>
      </c>
      <c r="W3" t="str">
        <v>C014</v>
      </c>
      <c r="X3" t="str">
        <v>C</v>
      </c>
      <c r="Y3" t="str">
        <v>作業組</v>
      </c>
      <c r="Z3" t="str">
        <v>黃斐曼</v>
      </c>
      <c r="AA3" t="str">
        <v>幹事</v>
      </c>
      <c r="AB3">
        <v>65016</v>
      </c>
      <c r="AC3" t="str">
        <v>huangfeiman@ntu.edu.tw</v>
      </c>
      <c r="AD3">
        <v>109</v>
      </c>
      <c r="AE3" s="128">
        <v>36192</v>
      </c>
      <c r="AF3">
        <v>0</v>
      </c>
      <c r="AG3" t="str">
        <v>14</v>
      </c>
    </row>
    <row r="4" spans="1:33" x14ac:dyDescent="0.4">
      <c r="A4" s="42" t="str">
        <f t="shared" si="2"/>
        <v>A003</v>
      </c>
      <c r="B4" s="42" t="str">
        <f>VLOOKUP(C4,item!B:C,2,0)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165">
        <f t="shared" si="3"/>
        <v>3</v>
      </c>
      <c r="K4" s="56"/>
      <c r="L4" s="50" t="s">
        <v>647</v>
      </c>
      <c r="W4" t="str">
        <v>D026</v>
      </c>
      <c r="X4" t="str">
        <v>D</v>
      </c>
      <c r="Y4" t="str">
        <v>網路組</v>
      </c>
      <c r="Z4" t="str">
        <v>李墨軒</v>
      </c>
      <c r="AA4" t="str">
        <v>幹事</v>
      </c>
      <c r="AB4">
        <v>65012</v>
      </c>
      <c r="AC4" t="str">
        <v>molee@ntu.edu.tw</v>
      </c>
      <c r="AD4">
        <v>411</v>
      </c>
      <c r="AE4" s="128">
        <v>36557</v>
      </c>
      <c r="AF4">
        <v>0</v>
      </c>
      <c r="AG4" t="str">
        <v>26</v>
      </c>
    </row>
    <row r="5" spans="1:33" x14ac:dyDescent="0.4">
      <c r="A5" s="42" t="str">
        <f t="shared" si="2"/>
        <v>A004</v>
      </c>
      <c r="B5" s="42" t="str">
        <f>VLOOKUP(C5,item!B:C,2,0)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165">
        <f t="shared" si="3"/>
        <v>4</v>
      </c>
      <c r="K5" s="56"/>
      <c r="L5" s="50" t="s">
        <v>651</v>
      </c>
      <c r="W5" t="str">
        <v>E038</v>
      </c>
      <c r="X5" t="str">
        <v>E</v>
      </c>
      <c r="Y5" t="str">
        <v>程式組</v>
      </c>
      <c r="Z5" t="str">
        <v>鄧永清</v>
      </c>
      <c r="AA5" t="str">
        <v>技士</v>
      </c>
      <c r="AB5">
        <v>65039</v>
      </c>
      <c r="AC5" t="str">
        <v>ycdeng@ntu.edu.tw</v>
      </c>
      <c r="AD5">
        <v>207</v>
      </c>
      <c r="AE5" s="128">
        <v>36923</v>
      </c>
      <c r="AF5">
        <v>0</v>
      </c>
      <c r="AG5" t="str">
        <v>38</v>
      </c>
    </row>
    <row r="6" spans="1:33" x14ac:dyDescent="0.4">
      <c r="A6" s="42" t="str">
        <f t="shared" si="2"/>
        <v>A005</v>
      </c>
      <c r="B6" s="42" t="str">
        <f>VLOOKUP(C6,item!B:C,2,0)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165">
        <f t="shared" si="3"/>
        <v>5</v>
      </c>
      <c r="K6" s="62"/>
      <c r="L6" s="50" t="s">
        <v>655</v>
      </c>
      <c r="R6" t="b" cm="1">
        <f t="array" ref="R6:R58">MONTH(I2:I54)=R2</f>
        <v>0</v>
      </c>
      <c r="S6" t="b" cm="1">
        <f t="array" ref="S6:S11">組別=S2</f>
        <v>0</v>
      </c>
      <c r="T6" t="b" cm="1">
        <f t="array" ref="T6:T19">職稱=T2</f>
        <v>0</v>
      </c>
      <c r="W6" t="str">
        <v>E050</v>
      </c>
      <c r="X6" t="str">
        <v>E</v>
      </c>
      <c r="Y6" t="str">
        <v>程式組</v>
      </c>
      <c r="Z6" t="str">
        <v>楊家榮</v>
      </c>
      <c r="AA6" t="str">
        <v>幹事</v>
      </c>
      <c r="AB6">
        <v>65032</v>
      </c>
      <c r="AC6" t="str">
        <v>ericy815@ntu.edu.tw</v>
      </c>
      <c r="AD6">
        <v>316</v>
      </c>
      <c r="AE6" s="128">
        <v>37288</v>
      </c>
      <c r="AF6">
        <v>0</v>
      </c>
      <c r="AG6" t="str">
        <v>50</v>
      </c>
    </row>
    <row r="7" spans="1:33" x14ac:dyDescent="0.4">
      <c r="A7" s="42" t="str">
        <f t="shared" si="2"/>
        <v>B006</v>
      </c>
      <c r="B7" s="42" t="str">
        <f>VLOOKUP(C7,item!B:C,2,0)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165">
        <f t="shared" si="3"/>
        <v>6</v>
      </c>
      <c r="K7" s="62"/>
      <c r="L7" s="50" t="s">
        <v>662</v>
      </c>
      <c r="R7" t="b">
        <v>1</v>
      </c>
      <c r="S7" t="b">
        <v>0</v>
      </c>
      <c r="T7" t="b">
        <v>1</v>
      </c>
    </row>
    <row r="8" spans="1:33" x14ac:dyDescent="0.4">
      <c r="A8" s="42" t="str">
        <f t="shared" si="2"/>
        <v>B007</v>
      </c>
      <c r="B8" s="42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165">
        <f t="shared" si="3"/>
        <v>7</v>
      </c>
      <c r="K8" s="46"/>
      <c r="L8" s="50" t="s">
        <v>666</v>
      </c>
      <c r="R8" t="b">
        <v>0</v>
      </c>
      <c r="S8" t="b">
        <v>1</v>
      </c>
      <c r="T8" t="b">
        <v>0</v>
      </c>
    </row>
    <row r="9" spans="1:33" x14ac:dyDescent="0.4">
      <c r="A9" s="42" t="str">
        <f t="shared" si="2"/>
        <v>B008</v>
      </c>
      <c r="B9" s="42" t="str">
        <f>VLOOKUP(C9,item!B:C,2,0)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165">
        <f t="shared" si="3"/>
        <v>8</v>
      </c>
      <c r="K9" s="56"/>
      <c r="L9" s="50" t="s">
        <v>669</v>
      </c>
      <c r="R9" t="b">
        <v>0</v>
      </c>
      <c r="S9" t="b">
        <v>0</v>
      </c>
      <c r="T9" t="b">
        <v>0</v>
      </c>
    </row>
    <row r="10" spans="1:33" x14ac:dyDescent="0.4">
      <c r="A10" s="42" t="str">
        <f t="shared" si="2"/>
        <v>B009</v>
      </c>
      <c r="B10" s="42" t="str">
        <f>VLOOKUP(C10,item!B:C,2,0)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165">
        <f t="shared" si="3"/>
        <v>9</v>
      </c>
      <c r="K10" s="68"/>
      <c r="L10" s="50" t="s">
        <v>672</v>
      </c>
      <c r="R10" t="b">
        <v>0</v>
      </c>
      <c r="S10" t="b">
        <v>0</v>
      </c>
      <c r="T10" t="b">
        <v>0</v>
      </c>
    </row>
    <row r="11" spans="1:33" ht="45" x14ac:dyDescent="0.4">
      <c r="A11" s="42" t="str">
        <f t="shared" si="2"/>
        <v>C010</v>
      </c>
      <c r="B11" s="42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165">
        <f t="shared" si="3"/>
        <v>10</v>
      </c>
      <c r="K11" s="46"/>
      <c r="L11" s="50" t="s">
        <v>676</v>
      </c>
      <c r="R11" t="b">
        <v>0</v>
      </c>
      <c r="S11" t="b">
        <v>0</v>
      </c>
      <c r="T11" t="b">
        <v>0</v>
      </c>
      <c r="W11" s="131" t="s">
        <v>856</v>
      </c>
    </row>
    <row r="12" spans="1:33" x14ac:dyDescent="0.4">
      <c r="A12" s="42" t="str">
        <f t="shared" si="2"/>
        <v>C011</v>
      </c>
      <c r="B12" s="42" t="str">
        <f>VLOOKUP(C12,item!B:C,2,0)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165">
        <f t="shared" si="3"/>
        <v>11</v>
      </c>
      <c r="K12" s="56"/>
      <c r="L12" s="50" t="s">
        <v>679</v>
      </c>
      <c r="R12" t="b">
        <v>0</v>
      </c>
      <c r="T12" t="b">
        <v>0</v>
      </c>
    </row>
    <row r="13" spans="1:33" x14ac:dyDescent="0.4">
      <c r="A13" s="42" t="str">
        <f t="shared" si="2"/>
        <v>C012</v>
      </c>
      <c r="B13" s="42" t="str">
        <f>VLOOKUP(C13,item!B:C,2,0)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165">
        <f t="shared" si="3"/>
        <v>12</v>
      </c>
      <c r="K13" s="56"/>
      <c r="L13" s="50" t="s">
        <v>682</v>
      </c>
      <c r="R13" t="b">
        <v>0</v>
      </c>
      <c r="T13" t="b">
        <v>0</v>
      </c>
    </row>
    <row r="14" spans="1:33" ht="30.9" x14ac:dyDescent="0.4">
      <c r="A14" s="42" t="str">
        <f t="shared" si="2"/>
        <v>C013</v>
      </c>
      <c r="B14" s="42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165">
        <f t="shared" si="3"/>
        <v>1</v>
      </c>
      <c r="K14" s="72"/>
      <c r="L14" s="50" t="s">
        <v>685</v>
      </c>
      <c r="R14" t="b">
        <v>0</v>
      </c>
      <c r="T14" t="b">
        <v>0</v>
      </c>
      <c r="W14" s="252" t="s">
        <v>850</v>
      </c>
      <c r="X14" s="258" t="str">
        <f>R1</f>
        <v>到職月份</v>
      </c>
      <c r="Y14" s="258" t="str">
        <f t="shared" ref="Y14:Z14" si="4">S1</f>
        <v>組別</v>
      </c>
      <c r="Z14" s="258" t="str">
        <f t="shared" si="4"/>
        <v>職稱</v>
      </c>
    </row>
    <row r="15" spans="1:33" ht="16.75" x14ac:dyDescent="0.45">
      <c r="A15" s="42" t="str">
        <f t="shared" si="2"/>
        <v>C014</v>
      </c>
      <c r="B15" s="42" t="str">
        <f>VLOOKUP(C15,item!B:C,2,0)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165">
        <f t="shared" si="3"/>
        <v>2</v>
      </c>
      <c r="K15" s="56"/>
      <c r="L15" s="50" t="s">
        <v>688</v>
      </c>
      <c r="R15" t="b">
        <v>0</v>
      </c>
      <c r="T15" t="b">
        <v>0</v>
      </c>
      <c r="W15" s="284" t="s">
        <v>854</v>
      </c>
      <c r="X15" s="26">
        <f>R2</f>
        <v>2</v>
      </c>
      <c r="Y15" s="26" t="str">
        <f t="shared" ref="Y15" si="5">S2</f>
        <v>教學組</v>
      </c>
      <c r="Z15" s="26" t="str">
        <f t="shared" ref="Z15" si="6">T2</f>
        <v>幹事</v>
      </c>
    </row>
    <row r="16" spans="1:33" x14ac:dyDescent="0.4">
      <c r="A16" s="42" t="str">
        <f t="shared" si="2"/>
        <v>C015</v>
      </c>
      <c r="B16" s="42" t="str">
        <f>VLOOKUP(C16,item!B:C,2,0)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165">
        <f t="shared" si="3"/>
        <v>3</v>
      </c>
      <c r="K16" s="56"/>
      <c r="L16" s="50" t="s">
        <v>691</v>
      </c>
      <c r="R16" t="b">
        <v>0</v>
      </c>
      <c r="T16" t="b">
        <v>0</v>
      </c>
    </row>
    <row r="17" spans="1:33" ht="16.75" x14ac:dyDescent="0.45">
      <c r="A17" s="42" t="str">
        <f t="shared" si="2"/>
        <v>C016</v>
      </c>
      <c r="B17" s="42" t="str">
        <f>VLOOKUP(C17,item!B:C,2,0)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165">
        <f t="shared" si="3"/>
        <v>4</v>
      </c>
      <c r="K17" s="56"/>
      <c r="L17" s="50" t="s">
        <v>694</v>
      </c>
      <c r="R17" t="b">
        <v>0</v>
      </c>
      <c r="T17" t="b">
        <v>0</v>
      </c>
      <c r="W17" s="257" t="s">
        <v>852</v>
      </c>
    </row>
    <row r="18" spans="1:33" ht="30" x14ac:dyDescent="0.4">
      <c r="A18" s="42" t="str">
        <f t="shared" si="2"/>
        <v>C017</v>
      </c>
      <c r="B18" s="42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165">
        <f t="shared" si="3"/>
        <v>5</v>
      </c>
      <c r="K18" s="72"/>
      <c r="L18" s="50" t="s">
        <v>697</v>
      </c>
      <c r="R18" t="b">
        <v>0</v>
      </c>
      <c r="T18" t="b">
        <v>0</v>
      </c>
      <c r="W18" s="33" t="s">
        <v>275</v>
      </c>
      <c r="X18" s="33" t="s">
        <v>827</v>
      </c>
      <c r="Y18" s="33" t="s">
        <v>623</v>
      </c>
      <c r="Z18" s="33" t="s">
        <v>624</v>
      </c>
      <c r="AA18" s="33" t="s">
        <v>625</v>
      </c>
      <c r="AB18" s="33" t="s">
        <v>828</v>
      </c>
      <c r="AC18" s="33" t="s">
        <v>829</v>
      </c>
      <c r="AD18" s="33" t="s">
        <v>830</v>
      </c>
      <c r="AE18" s="33" t="s">
        <v>831</v>
      </c>
      <c r="AF18" s="33" t="s">
        <v>832</v>
      </c>
      <c r="AG18" s="33" t="s">
        <v>434</v>
      </c>
    </row>
    <row r="19" spans="1:33" x14ac:dyDescent="0.4">
      <c r="A19" s="42" t="str">
        <f t="shared" si="2"/>
        <v>C018</v>
      </c>
      <c r="B19" s="42" t="str">
        <f>VLOOKUP(C19,item!B:C,2,0)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165">
        <f t="shared" si="3"/>
        <v>6</v>
      </c>
      <c r="K19" s="56"/>
      <c r="L19" s="50" t="s">
        <v>700</v>
      </c>
      <c r="R19" t="b">
        <v>1</v>
      </c>
      <c r="T19" t="b">
        <v>0</v>
      </c>
      <c r="W19" t="str" cm="1">
        <f t="array" ref="W19">_xlfn._xlws.FILTER(staff,(MONTH(到職日期)=R2)*(C2:C54=S2)*(E2:E54=T2),"本月無資料")</f>
        <v>本月無資料</v>
      </c>
    </row>
    <row r="20" spans="1:33" x14ac:dyDescent="0.4">
      <c r="A20" s="42" t="str">
        <f t="shared" si="2"/>
        <v>C019</v>
      </c>
      <c r="B20" s="42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165">
        <f t="shared" si="3"/>
        <v>7</v>
      </c>
      <c r="K20" s="72"/>
      <c r="L20" s="50" t="s">
        <v>703</v>
      </c>
      <c r="R20" t="b">
        <v>0</v>
      </c>
    </row>
    <row r="21" spans="1:33" x14ac:dyDescent="0.4">
      <c r="A21" s="42" t="str">
        <f t="shared" si="2"/>
        <v>C020</v>
      </c>
      <c r="B21" s="42" t="str">
        <f>VLOOKUP(C21,item!B:C,2,0)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165">
        <f t="shared" si="3"/>
        <v>8</v>
      </c>
      <c r="K21" s="56"/>
      <c r="L21" s="50" t="s">
        <v>706</v>
      </c>
      <c r="R21" t="b">
        <v>0</v>
      </c>
    </row>
    <row r="22" spans="1:33" x14ac:dyDescent="0.4">
      <c r="A22" s="42" t="str">
        <f t="shared" si="2"/>
        <v>D021</v>
      </c>
      <c r="B22" s="42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165">
        <f t="shared" si="3"/>
        <v>9</v>
      </c>
      <c r="K22" s="44"/>
      <c r="L22" s="50" t="s">
        <v>710</v>
      </c>
      <c r="R22" t="b">
        <v>0</v>
      </c>
    </row>
    <row r="23" spans="1:33" x14ac:dyDescent="0.4">
      <c r="A23" s="42" t="str">
        <f t="shared" si="2"/>
        <v>D022</v>
      </c>
      <c r="B23" s="42" t="str">
        <f>VLOOKUP(C23,item!B:C,2,0)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165">
        <f t="shared" si="3"/>
        <v>10</v>
      </c>
      <c r="K23" s="56"/>
      <c r="L23" s="50" t="s">
        <v>714</v>
      </c>
      <c r="R23" t="b">
        <v>0</v>
      </c>
    </row>
    <row r="24" spans="1:33" x14ac:dyDescent="0.4">
      <c r="A24" s="42" t="str">
        <f t="shared" si="2"/>
        <v>D023</v>
      </c>
      <c r="B24" s="42" t="str">
        <f>VLOOKUP(C24,item!B:C,2,0)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165">
        <f t="shared" si="3"/>
        <v>11</v>
      </c>
      <c r="K24" s="56"/>
      <c r="L24" s="50" t="s">
        <v>717</v>
      </c>
      <c r="R24" t="b">
        <v>0</v>
      </c>
    </row>
    <row r="25" spans="1:33" ht="31.3" x14ac:dyDescent="0.45">
      <c r="A25" s="42" t="str">
        <f t="shared" si="2"/>
        <v>D024</v>
      </c>
      <c r="B25" s="42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165">
        <f t="shared" si="3"/>
        <v>12</v>
      </c>
      <c r="K25" s="56"/>
      <c r="L25" s="50" t="s">
        <v>721</v>
      </c>
      <c r="R25" t="b">
        <v>0</v>
      </c>
      <c r="W25" s="252" t="s">
        <v>850</v>
      </c>
      <c r="X25" s="258" t="str">
        <f>R1</f>
        <v>到職月份</v>
      </c>
      <c r="Y25" s="258" t="str">
        <f t="shared" ref="Y25:Z25" si="7">S1</f>
        <v>組別</v>
      </c>
      <c r="Z25" s="258" t="str">
        <f t="shared" si="7"/>
        <v>職稱</v>
      </c>
    </row>
    <row r="26" spans="1:33" x14ac:dyDescent="0.4">
      <c r="A26" s="42" t="str">
        <f t="shared" si="2"/>
        <v>D025</v>
      </c>
      <c r="B26" s="42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165">
        <f t="shared" si="3"/>
        <v>1</v>
      </c>
      <c r="K26" s="87"/>
      <c r="L26" s="50" t="s">
        <v>724</v>
      </c>
      <c r="R26" t="b">
        <v>0</v>
      </c>
      <c r="W26" s="284" t="s">
        <v>855</v>
      </c>
      <c r="X26" s="26">
        <f>R2</f>
        <v>2</v>
      </c>
      <c r="Y26" s="26" t="str">
        <f t="shared" ref="Y26:Z26" si="8">S2</f>
        <v>教學組</v>
      </c>
      <c r="Z26" s="26" t="str">
        <f t="shared" si="8"/>
        <v>幹事</v>
      </c>
    </row>
    <row r="27" spans="1:33" ht="16.75" x14ac:dyDescent="0.45">
      <c r="A27" s="42" t="str">
        <f t="shared" si="2"/>
        <v>D026</v>
      </c>
      <c r="B27" s="42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165">
        <f t="shared" si="3"/>
        <v>2</v>
      </c>
      <c r="K27" s="56"/>
      <c r="L27" s="50" t="s">
        <v>727</v>
      </c>
      <c r="R27" t="b">
        <v>0</v>
      </c>
    </row>
    <row r="28" spans="1:33" ht="16.75" x14ac:dyDescent="0.45">
      <c r="A28" s="42" t="str">
        <f t="shared" si="2"/>
        <v>D027</v>
      </c>
      <c r="B28" s="42" t="str">
        <f>VLOOKUP(C28,item!B:C,2,0)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165">
        <f t="shared" si="3"/>
        <v>3</v>
      </c>
      <c r="K28" s="56"/>
      <c r="L28" s="50" t="s">
        <v>731</v>
      </c>
      <c r="R28" t="b">
        <v>0</v>
      </c>
      <c r="W28" s="135" t="s">
        <v>853</v>
      </c>
    </row>
    <row r="29" spans="1:33" ht="30" x14ac:dyDescent="0.45">
      <c r="A29" s="42" t="str">
        <f t="shared" si="2"/>
        <v>D028</v>
      </c>
      <c r="B29" s="42" t="str">
        <f>VLOOKUP(C29,item!B:C,2,0)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165">
        <f t="shared" si="3"/>
        <v>4</v>
      </c>
      <c r="K29" s="56"/>
      <c r="L29" s="50" t="s">
        <v>734</v>
      </c>
      <c r="R29" t="b">
        <v>0</v>
      </c>
      <c r="W29" s="33" t="s">
        <v>275</v>
      </c>
      <c r="X29" s="33" t="s">
        <v>827</v>
      </c>
      <c r="Y29" s="33" t="s">
        <v>623</v>
      </c>
      <c r="Z29" s="33" t="s">
        <v>624</v>
      </c>
      <c r="AA29" s="33" t="s">
        <v>625</v>
      </c>
      <c r="AB29" s="33" t="s">
        <v>828</v>
      </c>
      <c r="AC29" s="33" t="s">
        <v>829</v>
      </c>
      <c r="AD29" s="33" t="s">
        <v>830</v>
      </c>
      <c r="AE29" s="33" t="s">
        <v>831</v>
      </c>
      <c r="AF29" s="33" t="s">
        <v>832</v>
      </c>
      <c r="AG29" s="33" t="s">
        <v>434</v>
      </c>
    </row>
    <row r="30" spans="1:33" ht="30" x14ac:dyDescent="0.4">
      <c r="A30" s="42" t="str">
        <f t="shared" si="2"/>
        <v>D029</v>
      </c>
      <c r="B30" s="42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165">
        <f t="shared" si="3"/>
        <v>5</v>
      </c>
      <c r="K30" s="46"/>
      <c r="L30" s="50" t="s">
        <v>738</v>
      </c>
      <c r="R30" t="b">
        <v>0</v>
      </c>
      <c r="W30" t="str" cm="1">
        <f t="array" ref="W30:AG56">_xlfn._xlws.FILTER(staff,(MONTH(到職日期)=R2)+(C2:C54=S2)+(E2:E54=T2),"本月無資料")</f>
        <v>A002</v>
      </c>
      <c r="X30" t="str">
        <v>A</v>
      </c>
      <c r="Y30" t="str">
        <v>行政室</v>
      </c>
      <c r="Z30" t="str">
        <v>陳雅君</v>
      </c>
      <c r="AA30" t="str">
        <v>幹事</v>
      </c>
      <c r="AB30">
        <v>65050</v>
      </c>
      <c r="AC30" t="str">
        <v>yachun2240@ntu.edu.tw</v>
      </c>
      <c r="AD30">
        <v>216</v>
      </c>
      <c r="AE30">
        <v>35827</v>
      </c>
      <c r="AF30">
        <v>0</v>
      </c>
      <c r="AG30" t="str">
        <v>02</v>
      </c>
    </row>
    <row r="31" spans="1:33" ht="45" x14ac:dyDescent="0.4">
      <c r="A31" s="42" t="str">
        <f t="shared" si="2"/>
        <v>D030</v>
      </c>
      <c r="B31" s="42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165">
        <f t="shared" si="3"/>
        <v>6</v>
      </c>
      <c r="K31" s="59"/>
      <c r="L31" s="50" t="s">
        <v>744</v>
      </c>
      <c r="R31" t="b">
        <v>1</v>
      </c>
      <c r="W31" t="str">
        <v>B006</v>
      </c>
      <c r="X31" t="str">
        <v>B</v>
      </c>
      <c r="Y31" t="str">
        <v>教學組</v>
      </c>
      <c r="Z31" t="str">
        <v>林維真</v>
      </c>
      <c r="AA31" t="str">
        <v>組長</v>
      </c>
      <c r="AB31">
        <v>65005</v>
      </c>
      <c r="AC31" t="str">
        <v>vjlin@ntu.edu.tw</v>
      </c>
      <c r="AD31">
        <v>209</v>
      </c>
      <c r="AE31">
        <v>35947</v>
      </c>
      <c r="AF31">
        <v>0</v>
      </c>
      <c r="AG31" t="str">
        <v>06</v>
      </c>
    </row>
    <row r="32" spans="1:33" ht="45" x14ac:dyDescent="0.4">
      <c r="A32" s="42" t="str">
        <f t="shared" si="2"/>
        <v>D031</v>
      </c>
      <c r="B32" s="42" t="str">
        <f>VLOOKUP(C32,item!B:C,2,0)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165">
        <f t="shared" si="3"/>
        <v>7</v>
      </c>
      <c r="K32" s="59"/>
      <c r="L32" s="50" t="s">
        <v>747</v>
      </c>
      <c r="R32" t="b">
        <v>0</v>
      </c>
      <c r="W32" t="str">
        <v>B007</v>
      </c>
      <c r="X32" t="str">
        <v>B</v>
      </c>
      <c r="Y32" t="str">
        <v>教學組</v>
      </c>
      <c r="Z32" t="str">
        <v>黃淑玲</v>
      </c>
      <c r="AA32" t="str">
        <v>經理</v>
      </c>
      <c r="AB32">
        <v>65047</v>
      </c>
      <c r="AC32" t="str">
        <v>huangsl@ntu.edu.tw</v>
      </c>
      <c r="AD32">
        <v>216</v>
      </c>
      <c r="AE32">
        <v>35977</v>
      </c>
      <c r="AF32">
        <v>0</v>
      </c>
      <c r="AG32" t="str">
        <v>07</v>
      </c>
    </row>
    <row r="33" spans="1:33" ht="45" x14ac:dyDescent="0.4">
      <c r="A33" s="42" t="str">
        <f t="shared" si="2"/>
        <v>D032</v>
      </c>
      <c r="B33" s="42" t="str">
        <f>VLOOKUP(C33,item!B:C,2,0)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165">
        <f t="shared" si="3"/>
        <v>8</v>
      </c>
      <c r="K33" s="56"/>
      <c r="L33" s="50" t="s">
        <v>750</v>
      </c>
      <c r="R33" t="b">
        <v>0</v>
      </c>
      <c r="W33" t="str">
        <v>B008</v>
      </c>
      <c r="X33" t="str">
        <v>B</v>
      </c>
      <c r="Y33" t="str">
        <v>教學組</v>
      </c>
      <c r="Z33" t="str">
        <v>黃瀞瑩</v>
      </c>
      <c r="AA33" t="str">
        <v>幹事</v>
      </c>
      <c r="AB33">
        <v>65031</v>
      </c>
      <c r="AC33" t="str">
        <v>hitomihuang@ntu.edu.tw</v>
      </c>
      <c r="AD33">
        <v>318</v>
      </c>
      <c r="AE33">
        <v>36008</v>
      </c>
      <c r="AF33">
        <v>0</v>
      </c>
      <c r="AG33" t="str">
        <v>08</v>
      </c>
    </row>
    <row r="34" spans="1:33" x14ac:dyDescent="0.4">
      <c r="A34" s="42" t="str">
        <f t="shared" si="2"/>
        <v>E033</v>
      </c>
      <c r="B34" s="42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165">
        <f t="shared" si="3"/>
        <v>9</v>
      </c>
      <c r="K34" s="46"/>
      <c r="L34" s="50" t="s">
        <v>754</v>
      </c>
      <c r="R34" t="b">
        <v>0</v>
      </c>
      <c r="W34" t="str">
        <v>B009</v>
      </c>
      <c r="X34" t="str">
        <v>B</v>
      </c>
      <c r="Y34" t="str">
        <v>教學組</v>
      </c>
      <c r="Z34" t="str">
        <v>辛  宜</v>
      </c>
      <c r="AA34" t="str">
        <v>幹事</v>
      </c>
      <c r="AB34">
        <v>55448</v>
      </c>
      <c r="AC34" t="str">
        <v>hsinlt2140@ntu.edu.tw</v>
      </c>
      <c r="AD34">
        <v>318</v>
      </c>
      <c r="AE34">
        <v>36039</v>
      </c>
      <c r="AF34">
        <v>0</v>
      </c>
      <c r="AG34" t="str">
        <v>09</v>
      </c>
    </row>
    <row r="35" spans="1:33" x14ac:dyDescent="0.4">
      <c r="A35" s="42" t="str">
        <f t="shared" si="2"/>
        <v>E034</v>
      </c>
      <c r="B35" s="42" t="str">
        <f>VLOOKUP(C35,item!B:C,2,0)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165">
        <f t="shared" si="3"/>
        <v>10</v>
      </c>
      <c r="K35" s="56"/>
      <c r="L35" s="50" t="s">
        <v>757</v>
      </c>
      <c r="R35" t="b">
        <v>0</v>
      </c>
      <c r="W35" t="str">
        <v>C013</v>
      </c>
      <c r="X35" t="str">
        <v>C</v>
      </c>
      <c r="Y35" t="str">
        <v>作業組</v>
      </c>
      <c r="Z35" t="str">
        <v>張素芬</v>
      </c>
      <c r="AA35" t="str">
        <v>幹事</v>
      </c>
      <c r="AB35">
        <v>65059</v>
      </c>
      <c r="AC35" t="str">
        <v>michellecheung@ntu.edu.tw</v>
      </c>
      <c r="AD35">
        <v>109</v>
      </c>
      <c r="AE35">
        <v>36161</v>
      </c>
      <c r="AF35">
        <v>0</v>
      </c>
      <c r="AG35" t="str">
        <v>13</v>
      </c>
    </row>
    <row r="36" spans="1:33" x14ac:dyDescent="0.4">
      <c r="A36" s="42" t="str">
        <f t="shared" si="2"/>
        <v>E035</v>
      </c>
      <c r="B36" s="42" t="str">
        <f>VLOOKUP(C36,item!B:C,2,0)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165">
        <f t="shared" si="3"/>
        <v>11</v>
      </c>
      <c r="K36" s="62"/>
      <c r="L36" s="50" t="s">
        <v>760</v>
      </c>
      <c r="R36" t="b">
        <v>0</v>
      </c>
      <c r="W36" t="str">
        <v>C014</v>
      </c>
      <c r="X36" t="str">
        <v>C</v>
      </c>
      <c r="Y36" t="str">
        <v>作業組</v>
      </c>
      <c r="Z36" t="str">
        <v>黃斐曼</v>
      </c>
      <c r="AA36" t="str">
        <v>幹事</v>
      </c>
      <c r="AB36">
        <v>65016</v>
      </c>
      <c r="AC36" t="str">
        <v>huangfeiman@ntu.edu.tw</v>
      </c>
      <c r="AD36">
        <v>109</v>
      </c>
      <c r="AE36">
        <v>36192</v>
      </c>
      <c r="AF36">
        <v>0</v>
      </c>
      <c r="AG36" t="str">
        <v>14</v>
      </c>
    </row>
    <row r="37" spans="1:33" x14ac:dyDescent="0.4">
      <c r="A37" s="42" t="str">
        <f t="shared" si="2"/>
        <v>E036</v>
      </c>
      <c r="B37" s="42" t="str">
        <f>VLOOKUP(C37,item!B:C,2,0)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165">
        <f t="shared" si="3"/>
        <v>12</v>
      </c>
      <c r="K37" s="56"/>
      <c r="L37" s="50" t="s">
        <v>763</v>
      </c>
      <c r="R37" t="b">
        <v>0</v>
      </c>
      <c r="W37" t="str">
        <v>C015</v>
      </c>
      <c r="X37" t="str">
        <v>C</v>
      </c>
      <c r="Y37" t="str">
        <v>作業組</v>
      </c>
      <c r="Z37" t="str">
        <v>許可欣</v>
      </c>
      <c r="AA37" t="str">
        <v>幹事</v>
      </c>
      <c r="AB37">
        <v>65519</v>
      </c>
      <c r="AC37" t="str">
        <v>kshsu@ntu.edu.tw</v>
      </c>
      <c r="AD37">
        <v>315</v>
      </c>
      <c r="AE37">
        <v>36220</v>
      </c>
      <c r="AF37">
        <v>0</v>
      </c>
      <c r="AG37" t="str">
        <v>15</v>
      </c>
    </row>
    <row r="38" spans="1:33" x14ac:dyDescent="0.4">
      <c r="A38" s="42" t="str">
        <f t="shared" si="2"/>
        <v>E037</v>
      </c>
      <c r="B38" s="42" t="str">
        <f>VLOOKUP(C38,item!B:C,2,0)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165">
        <f t="shared" si="3"/>
        <v>1</v>
      </c>
      <c r="K38" s="56"/>
      <c r="L38" s="50" t="s">
        <v>764</v>
      </c>
      <c r="R38" t="b">
        <v>0</v>
      </c>
      <c r="W38" t="str">
        <v>C016</v>
      </c>
      <c r="X38" t="str">
        <v>C</v>
      </c>
      <c r="Y38" t="str">
        <v>作業組</v>
      </c>
      <c r="Z38" t="str">
        <v>高鈺盛</v>
      </c>
      <c r="AA38" t="str">
        <v>幹事</v>
      </c>
      <c r="AB38">
        <v>69869</v>
      </c>
      <c r="AC38" t="str">
        <v>yusengao@ntu.edu.tw</v>
      </c>
      <c r="AD38">
        <v>316</v>
      </c>
      <c r="AE38">
        <v>36251</v>
      </c>
      <c r="AF38">
        <v>0</v>
      </c>
      <c r="AG38" t="str">
        <v>16</v>
      </c>
    </row>
    <row r="39" spans="1:33" x14ac:dyDescent="0.4">
      <c r="A39" s="42" t="str">
        <f t="shared" si="2"/>
        <v>E038</v>
      </c>
      <c r="B39" s="42" t="str">
        <f>VLOOKUP(C39,item!B:C,2,0)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165">
        <f t="shared" si="3"/>
        <v>2</v>
      </c>
      <c r="K39" s="56"/>
      <c r="L39" s="50" t="s">
        <v>768</v>
      </c>
      <c r="R39" t="b">
        <v>0</v>
      </c>
      <c r="W39" t="str">
        <v>C017</v>
      </c>
      <c r="X39" t="str">
        <v>C</v>
      </c>
      <c r="Y39" t="str">
        <v>作業組</v>
      </c>
      <c r="Z39" t="str">
        <v>張書元</v>
      </c>
      <c r="AA39" t="str">
        <v>幹事</v>
      </c>
      <c r="AB39">
        <v>65522</v>
      </c>
      <c r="AC39" t="str">
        <v>sychang01@ntu.edu.tw</v>
      </c>
      <c r="AD39">
        <v>316</v>
      </c>
      <c r="AE39">
        <v>36281</v>
      </c>
      <c r="AF39">
        <v>0</v>
      </c>
      <c r="AG39" t="str">
        <v>17</v>
      </c>
    </row>
    <row r="40" spans="1:33" x14ac:dyDescent="0.4">
      <c r="A40" s="42" t="str">
        <f t="shared" si="2"/>
        <v>E039</v>
      </c>
      <c r="B40" s="42" t="str">
        <f>VLOOKUP(C40,item!B:C,2,0)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165">
        <f t="shared" si="3"/>
        <v>3</v>
      </c>
      <c r="K40" s="72"/>
      <c r="L40" s="50" t="s">
        <v>769</v>
      </c>
      <c r="R40" t="b">
        <v>0</v>
      </c>
      <c r="W40" t="str">
        <v>C018</v>
      </c>
      <c r="X40" t="str">
        <v>C</v>
      </c>
      <c r="Y40" t="str">
        <v>作業組</v>
      </c>
      <c r="Z40" t="str">
        <v>黃致遠</v>
      </c>
      <c r="AA40" t="str">
        <v>幹事</v>
      </c>
      <c r="AB40">
        <v>65512</v>
      </c>
      <c r="AC40" t="str">
        <v>sidneyhuang@ntu.edu.tw</v>
      </c>
      <c r="AD40">
        <v>316</v>
      </c>
      <c r="AE40">
        <v>36312</v>
      </c>
      <c r="AF40">
        <v>0</v>
      </c>
      <c r="AG40" t="str">
        <v>18</v>
      </c>
    </row>
    <row r="41" spans="1:33" x14ac:dyDescent="0.4">
      <c r="A41" s="42" t="str">
        <f t="shared" si="2"/>
        <v>E040</v>
      </c>
      <c r="B41" s="42" t="str">
        <f>VLOOKUP(C41,item!B:C,2,0)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165">
        <f t="shared" si="3"/>
        <v>4</v>
      </c>
      <c r="K41" s="56"/>
      <c r="L41" s="50" t="s">
        <v>772</v>
      </c>
      <c r="R41" t="b">
        <v>0</v>
      </c>
      <c r="W41" t="str">
        <v>C019</v>
      </c>
      <c r="X41" t="str">
        <v>C</v>
      </c>
      <c r="Y41" t="str">
        <v>作業組</v>
      </c>
      <c r="Z41" t="str">
        <v>林子南</v>
      </c>
      <c r="AA41" t="str">
        <v>幹事</v>
      </c>
      <c r="AB41">
        <v>65510</v>
      </c>
      <c r="AC41" t="str">
        <v>zihnan@ntu.edu.tw</v>
      </c>
      <c r="AD41">
        <v>316</v>
      </c>
      <c r="AE41">
        <v>36342</v>
      </c>
      <c r="AF41">
        <v>0</v>
      </c>
      <c r="AG41" t="str">
        <v>19</v>
      </c>
    </row>
    <row r="42" spans="1:33" x14ac:dyDescent="0.4">
      <c r="A42" s="42" t="str">
        <f t="shared" si="2"/>
        <v>E041</v>
      </c>
      <c r="B42" s="42" t="str">
        <f>VLOOKUP(C42,item!B:C,2,0)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165">
        <f t="shared" si="3"/>
        <v>5</v>
      </c>
      <c r="K42" s="56"/>
      <c r="L42" s="50" t="s">
        <v>775</v>
      </c>
      <c r="R42" t="b">
        <v>0</v>
      </c>
      <c r="W42" t="str">
        <v>D026</v>
      </c>
      <c r="X42" t="str">
        <v>D</v>
      </c>
      <c r="Y42" t="str">
        <v>網路組</v>
      </c>
      <c r="Z42" t="str">
        <v>李墨軒</v>
      </c>
      <c r="AA42" t="str">
        <v>幹事</v>
      </c>
      <c r="AB42">
        <v>65012</v>
      </c>
      <c r="AC42" t="str">
        <v>molee@ntu.edu.tw</v>
      </c>
      <c r="AD42">
        <v>411</v>
      </c>
      <c r="AE42">
        <v>36557</v>
      </c>
      <c r="AF42">
        <v>0</v>
      </c>
      <c r="AG42" t="str">
        <v>26</v>
      </c>
    </row>
    <row r="43" spans="1:33" x14ac:dyDescent="0.4">
      <c r="A43" s="42" t="str">
        <f t="shared" si="2"/>
        <v>E042</v>
      </c>
      <c r="B43" s="42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165">
        <f t="shared" si="3"/>
        <v>6</v>
      </c>
      <c r="K43" s="72"/>
      <c r="L43" s="50" t="s">
        <v>778</v>
      </c>
      <c r="R43" t="b">
        <v>1</v>
      </c>
      <c r="W43" t="str">
        <v>E035</v>
      </c>
      <c r="X43" t="str">
        <v>E</v>
      </c>
      <c r="Y43" t="str">
        <v>程式組</v>
      </c>
      <c r="Z43" t="str">
        <v>傅潔瑩</v>
      </c>
      <c r="AA43" t="str">
        <v>幹事</v>
      </c>
      <c r="AB43">
        <v>65042</v>
      </c>
      <c r="AC43" t="str">
        <v>jerryfu@ntu.edu.tw</v>
      </c>
      <c r="AD43">
        <v>200</v>
      </c>
      <c r="AE43">
        <v>36831</v>
      </c>
      <c r="AF43">
        <v>0</v>
      </c>
      <c r="AG43" t="str">
        <v>35</v>
      </c>
    </row>
    <row r="44" spans="1:33" x14ac:dyDescent="0.4">
      <c r="A44" s="42" t="str">
        <f t="shared" si="2"/>
        <v>E043</v>
      </c>
      <c r="B44" s="42" t="str">
        <f>VLOOKUP(C44,item!B:C,2,0)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165">
        <f t="shared" si="3"/>
        <v>7</v>
      </c>
      <c r="K44" s="72"/>
      <c r="L44" s="50" t="s">
        <v>781</v>
      </c>
      <c r="R44" t="b">
        <v>0</v>
      </c>
      <c r="W44" t="str">
        <v>E036</v>
      </c>
      <c r="X44" t="str">
        <v>E</v>
      </c>
      <c r="Y44" t="str">
        <v>程式組</v>
      </c>
      <c r="Z44" t="str">
        <v>曹桂漪</v>
      </c>
      <c r="AA44" t="str">
        <v>幹事</v>
      </c>
      <c r="AB44">
        <v>65041</v>
      </c>
      <c r="AC44" t="str">
        <v>cindytsao@ntu.edu.tw</v>
      </c>
      <c r="AD44">
        <v>200</v>
      </c>
      <c r="AE44">
        <v>36861</v>
      </c>
      <c r="AF44">
        <v>0</v>
      </c>
      <c r="AG44" t="str">
        <v>36</v>
      </c>
    </row>
    <row r="45" spans="1:33" x14ac:dyDescent="0.4">
      <c r="A45" s="42" t="str">
        <f t="shared" si="2"/>
        <v>E044</v>
      </c>
      <c r="B45" s="42" t="str">
        <f>VLOOKUP(C45,item!B:C,2,0)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165">
        <f t="shared" si="3"/>
        <v>8</v>
      </c>
      <c r="K45" s="56"/>
      <c r="L45" s="50" t="s">
        <v>784</v>
      </c>
      <c r="R45" t="b">
        <v>0</v>
      </c>
      <c r="W45" t="str">
        <v>E038</v>
      </c>
      <c r="X45" t="str">
        <v>E</v>
      </c>
      <c r="Y45" t="str">
        <v>程式組</v>
      </c>
      <c r="Z45" t="str">
        <v>鄧永清</v>
      </c>
      <c r="AA45" t="str">
        <v>技士</v>
      </c>
      <c r="AB45">
        <v>65039</v>
      </c>
      <c r="AC45" t="str">
        <v>ycdeng@ntu.edu.tw</v>
      </c>
      <c r="AD45">
        <v>207</v>
      </c>
      <c r="AE45">
        <v>36923</v>
      </c>
      <c r="AF45">
        <v>0</v>
      </c>
      <c r="AG45" t="str">
        <v>38</v>
      </c>
    </row>
    <row r="46" spans="1:33" x14ac:dyDescent="0.4">
      <c r="A46" s="42" t="str">
        <f t="shared" si="2"/>
        <v>E045</v>
      </c>
      <c r="B46" s="42" t="str">
        <f>VLOOKUP(C46,item!B:C,2,0)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165">
        <f t="shared" si="3"/>
        <v>9</v>
      </c>
      <c r="K46" s="56"/>
      <c r="L46" s="50" t="s">
        <v>787</v>
      </c>
      <c r="R46" t="b">
        <v>0</v>
      </c>
      <c r="W46" t="str">
        <v>E040</v>
      </c>
      <c r="X46" t="str">
        <v>E</v>
      </c>
      <c r="Y46" t="str">
        <v>程式組</v>
      </c>
      <c r="Z46" t="str">
        <v>洪嘉駿</v>
      </c>
      <c r="AA46" t="str">
        <v>幹事</v>
      </c>
      <c r="AB46">
        <v>65517</v>
      </c>
      <c r="AC46" t="str">
        <v>jiajiunhung@ntu.edu.tw</v>
      </c>
      <c r="AD46">
        <v>311</v>
      </c>
      <c r="AE46">
        <v>36982</v>
      </c>
      <c r="AF46">
        <v>0</v>
      </c>
      <c r="AG46" t="str">
        <v>40</v>
      </c>
    </row>
    <row r="47" spans="1:33" x14ac:dyDescent="0.4">
      <c r="A47" s="42" t="str">
        <f t="shared" si="2"/>
        <v>E046</v>
      </c>
      <c r="B47" s="42" t="str">
        <f>VLOOKUP(C47,item!B:C,2,0)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165">
        <f t="shared" si="3"/>
        <v>10</v>
      </c>
      <c r="K47" s="56"/>
      <c r="L47" s="50" t="s">
        <v>790</v>
      </c>
      <c r="R47" t="b">
        <v>0</v>
      </c>
      <c r="W47" t="str">
        <v>E042</v>
      </c>
      <c r="X47" t="str">
        <v>E</v>
      </c>
      <c r="Y47" t="str">
        <v>程式組</v>
      </c>
      <c r="Z47" t="str">
        <v>沈宜儒</v>
      </c>
      <c r="AA47" t="str">
        <v>幹事</v>
      </c>
      <c r="AB47">
        <v>65515</v>
      </c>
      <c r="AC47" t="str">
        <v>yijushen@ntu.edu.tw</v>
      </c>
      <c r="AD47">
        <v>311</v>
      </c>
      <c r="AE47">
        <v>37043</v>
      </c>
      <c r="AF47">
        <v>0</v>
      </c>
      <c r="AG47" t="str">
        <v>42</v>
      </c>
    </row>
    <row r="48" spans="1:33" x14ac:dyDescent="0.4">
      <c r="A48" s="42" t="str">
        <f t="shared" si="2"/>
        <v>E047</v>
      </c>
      <c r="B48" s="42" t="str">
        <f>VLOOKUP(C48,item!B:C,2,0)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165">
        <f t="shared" si="3"/>
        <v>11</v>
      </c>
      <c r="K48" s="56"/>
      <c r="L48" s="50" t="s">
        <v>793</v>
      </c>
      <c r="R48" t="b">
        <v>0</v>
      </c>
      <c r="W48" t="str">
        <v>E043</v>
      </c>
      <c r="X48" t="str">
        <v>E</v>
      </c>
      <c r="Y48" t="str">
        <v>程式組</v>
      </c>
      <c r="Z48" t="str">
        <v>陳雨廷</v>
      </c>
      <c r="AA48" t="str">
        <v>幹事</v>
      </c>
      <c r="AB48">
        <v>65520</v>
      </c>
      <c r="AC48" t="str">
        <v>ytytchen@ntu.edu.tw</v>
      </c>
      <c r="AD48">
        <v>311</v>
      </c>
      <c r="AE48">
        <v>37073</v>
      </c>
      <c r="AF48">
        <v>0</v>
      </c>
      <c r="AG48" t="str">
        <v>43</v>
      </c>
    </row>
    <row r="49" spans="1:33" x14ac:dyDescent="0.4">
      <c r="A49" s="42" t="str">
        <f t="shared" si="2"/>
        <v>E048</v>
      </c>
      <c r="B49" s="42" t="str">
        <f>VLOOKUP(C49,item!B:C,2,0)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165">
        <f t="shared" si="3"/>
        <v>12</v>
      </c>
      <c r="K49" s="72"/>
      <c r="L49" s="50" t="s">
        <v>794</v>
      </c>
      <c r="R49" t="b">
        <v>0</v>
      </c>
      <c r="W49" t="str">
        <v>E044</v>
      </c>
      <c r="X49" t="str">
        <v>E</v>
      </c>
      <c r="Y49" t="str">
        <v>程式組</v>
      </c>
      <c r="Z49" t="str">
        <v>鄭彥宏</v>
      </c>
      <c r="AA49" t="str">
        <v>幹事</v>
      </c>
      <c r="AB49">
        <v>65524</v>
      </c>
      <c r="AC49" t="str">
        <v>yhzheng@ntu.edu.tw</v>
      </c>
      <c r="AD49">
        <v>311</v>
      </c>
      <c r="AE49">
        <v>37104</v>
      </c>
      <c r="AF49">
        <v>0</v>
      </c>
      <c r="AG49" t="str">
        <v>44</v>
      </c>
    </row>
    <row r="50" spans="1:33" x14ac:dyDescent="0.4">
      <c r="A50" s="42" t="str">
        <f t="shared" si="2"/>
        <v>E049</v>
      </c>
      <c r="B50" s="42" t="str">
        <f>VLOOKUP(C50,item!B:C,2,0)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165">
        <f t="shared" si="3"/>
        <v>1</v>
      </c>
      <c r="K50" s="56"/>
      <c r="L50" s="50" t="s">
        <v>797</v>
      </c>
      <c r="R50" t="b">
        <v>0</v>
      </c>
      <c r="W50" t="str">
        <v>E045</v>
      </c>
      <c r="X50" t="str">
        <v>E</v>
      </c>
      <c r="Y50" t="str">
        <v>程式組</v>
      </c>
      <c r="Z50" t="str">
        <v>陳怡如</v>
      </c>
      <c r="AA50" t="str">
        <v>幹事</v>
      </c>
      <c r="AB50">
        <v>65523</v>
      </c>
      <c r="AC50" t="str">
        <v>juliachen@ntu.edu.tw</v>
      </c>
      <c r="AD50">
        <v>311</v>
      </c>
      <c r="AE50">
        <v>37135</v>
      </c>
      <c r="AF50">
        <v>0</v>
      </c>
      <c r="AG50" t="str">
        <v>45</v>
      </c>
    </row>
    <row r="51" spans="1:33" x14ac:dyDescent="0.4">
      <c r="A51" s="42" t="str">
        <f t="shared" si="2"/>
        <v>E050</v>
      </c>
      <c r="B51" s="42" t="str">
        <f>VLOOKUP(C51,item!B:C,2,0)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165">
        <f t="shared" si="3"/>
        <v>2</v>
      </c>
      <c r="K51" s="62"/>
      <c r="L51" s="50" t="s">
        <v>800</v>
      </c>
      <c r="R51" t="b">
        <v>0</v>
      </c>
      <c r="W51" t="str">
        <v>E046</v>
      </c>
      <c r="X51" t="str">
        <v>E</v>
      </c>
      <c r="Y51" t="str">
        <v>程式組</v>
      </c>
      <c r="Z51" t="str">
        <v>陳淑萍</v>
      </c>
      <c r="AA51" t="str">
        <v>幹事</v>
      </c>
      <c r="AB51">
        <v>65521</v>
      </c>
      <c r="AC51" t="str">
        <v>missachen@ntu.edu.tw</v>
      </c>
      <c r="AD51">
        <v>315</v>
      </c>
      <c r="AE51">
        <v>37165</v>
      </c>
      <c r="AF51">
        <v>0</v>
      </c>
      <c r="AG51" t="str">
        <v>46</v>
      </c>
    </row>
    <row r="52" spans="1:33" x14ac:dyDescent="0.4">
      <c r="A52" s="42" t="str">
        <f t="shared" si="2"/>
        <v>E051</v>
      </c>
      <c r="B52" s="42" t="str">
        <f>VLOOKUP(C52,item!B:C,2,0)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165">
        <f t="shared" si="3"/>
        <v>3</v>
      </c>
      <c r="K52" s="62"/>
      <c r="L52" s="50" t="s">
        <v>803</v>
      </c>
      <c r="R52" t="b">
        <v>0</v>
      </c>
      <c r="W52" t="str">
        <v>E047</v>
      </c>
      <c r="X52" t="str">
        <v>E</v>
      </c>
      <c r="Y52" t="str">
        <v>程式組</v>
      </c>
      <c r="Z52" t="str">
        <v>張如媚</v>
      </c>
      <c r="AA52" t="str">
        <v>幹事</v>
      </c>
      <c r="AB52">
        <v>65518</v>
      </c>
      <c r="AC52" t="str">
        <v>bobochang@ntu.edu.tw</v>
      </c>
      <c r="AD52">
        <v>315</v>
      </c>
      <c r="AE52">
        <v>37196</v>
      </c>
      <c r="AF52">
        <v>0</v>
      </c>
      <c r="AG52" t="str">
        <v>47</v>
      </c>
    </row>
    <row r="53" spans="1:33" ht="30" x14ac:dyDescent="0.4">
      <c r="A53" s="42" t="str">
        <f t="shared" si="2"/>
        <v>E052</v>
      </c>
      <c r="B53" s="42" t="str">
        <f>VLOOKUP(C53,item!B:C,2,0)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165">
        <f t="shared" si="3"/>
        <v>4</v>
      </c>
      <c r="K53" s="62"/>
      <c r="L53" s="50" t="s">
        <v>807</v>
      </c>
      <c r="R53" t="b">
        <v>0</v>
      </c>
      <c r="W53" t="str">
        <v>E048</v>
      </c>
      <c r="X53" t="str">
        <v>E</v>
      </c>
      <c r="Y53" t="str">
        <v>程式組</v>
      </c>
      <c r="Z53">
        <v>0</v>
      </c>
      <c r="AA53" t="str">
        <v>幹事</v>
      </c>
      <c r="AB53">
        <v>65516</v>
      </c>
      <c r="AC53">
        <v>0</v>
      </c>
      <c r="AD53">
        <v>315</v>
      </c>
      <c r="AE53">
        <v>37226</v>
      </c>
      <c r="AF53">
        <v>0</v>
      </c>
      <c r="AG53" t="str">
        <v>48</v>
      </c>
    </row>
    <row r="54" spans="1:33" x14ac:dyDescent="0.4">
      <c r="A54" s="42" t="str">
        <f t="shared" si="2"/>
        <v>E053</v>
      </c>
      <c r="B54" s="42" t="str">
        <f>VLOOKUP(C54,item!B:C,2,0)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165">
        <f t="shared" si="3"/>
        <v>5</v>
      </c>
      <c r="K54" s="97"/>
      <c r="L54" s="50" t="s">
        <v>810</v>
      </c>
      <c r="R54" t="b">
        <v>0</v>
      </c>
      <c r="W54" t="str">
        <v>E049</v>
      </c>
      <c r="X54" t="str">
        <v>E</v>
      </c>
      <c r="Y54" t="str">
        <v>程式組</v>
      </c>
      <c r="Z54" t="str">
        <v>葉崇志</v>
      </c>
      <c r="AA54" t="str">
        <v>幹事</v>
      </c>
      <c r="AB54">
        <v>65056</v>
      </c>
      <c r="AC54" t="str">
        <v>chungchih@ntu.edu.tw</v>
      </c>
      <c r="AD54">
        <v>316</v>
      </c>
      <c r="AE54">
        <v>37257</v>
      </c>
      <c r="AF54">
        <v>0</v>
      </c>
      <c r="AG54" t="str">
        <v>49</v>
      </c>
    </row>
    <row r="55" spans="1:33" x14ac:dyDescent="0.4">
      <c r="R55" t="b">
        <v>1</v>
      </c>
      <c r="W55" t="str">
        <v>E050</v>
      </c>
      <c r="X55" t="str">
        <v>E</v>
      </c>
      <c r="Y55" t="str">
        <v>程式組</v>
      </c>
      <c r="Z55" t="str">
        <v>楊家榮</v>
      </c>
      <c r="AA55" t="str">
        <v>幹事</v>
      </c>
      <c r="AB55">
        <v>65032</v>
      </c>
      <c r="AC55" t="str">
        <v>ericy815@ntu.edu.tw</v>
      </c>
      <c r="AD55">
        <v>316</v>
      </c>
      <c r="AE55">
        <v>37288</v>
      </c>
      <c r="AF55">
        <v>0</v>
      </c>
      <c r="AG55" t="str">
        <v>50</v>
      </c>
    </row>
    <row r="56" spans="1:33" x14ac:dyDescent="0.4">
      <c r="R56" t="b">
        <v>0</v>
      </c>
      <c r="W56" t="str">
        <v>E051</v>
      </c>
      <c r="X56" t="str">
        <v>E</v>
      </c>
      <c r="Y56" t="str">
        <v>程式組</v>
      </c>
      <c r="Z56" t="str">
        <v>陳俊佑</v>
      </c>
      <c r="AA56" t="str">
        <v>幹事</v>
      </c>
      <c r="AB56">
        <v>65025</v>
      </c>
      <c r="AC56" t="str">
        <v>jackchen1113@ntu.edu.tw</v>
      </c>
      <c r="AD56">
        <v>316</v>
      </c>
      <c r="AE56">
        <v>37316</v>
      </c>
      <c r="AF56">
        <v>0</v>
      </c>
      <c r="AG56" t="str">
        <v>51</v>
      </c>
    </row>
    <row r="57" spans="1:33" x14ac:dyDescent="0.4">
      <c r="R57" t="b">
        <v>0</v>
      </c>
    </row>
    <row r="58" spans="1:33" x14ac:dyDescent="0.4">
      <c r="R58" t="b">
        <v>0</v>
      </c>
    </row>
  </sheetData>
  <phoneticPr fontId="14" type="noConversion"/>
  <conditionalFormatting sqref="C1:D10 F1:K10 J3:J54">
    <cfRule type="expression" dxfId="630" priority="96">
      <formula>#REF!="程式組"</formula>
    </cfRule>
    <cfRule type="expression" dxfId="629" priority="97">
      <formula>#REF!="網路組"</formula>
    </cfRule>
  </conditionalFormatting>
  <conditionalFormatting sqref="C1:D21 F1:K21 J3:J54">
    <cfRule type="expression" dxfId="628" priority="98">
      <formula>#REF!="作業組"</formula>
    </cfRule>
    <cfRule type="expression" dxfId="627" priority="99">
      <formula>#REF!="教學組"</formula>
    </cfRule>
    <cfRule type="expression" dxfId="626" priority="100">
      <formula>#REF!="行政室"</formula>
    </cfRule>
  </conditionalFormatting>
  <conditionalFormatting sqref="C11:D21 F11:K21">
    <cfRule type="expression" dxfId="625" priority="101">
      <formula>#REF!="程式組"</formula>
    </cfRule>
    <cfRule type="expression" dxfId="624" priority="102">
      <formula>#REF!="網路組"</formula>
    </cfRule>
  </conditionalFormatting>
  <conditionalFormatting sqref="I1:J65522">
    <cfRule type="cellIs" dxfId="623" priority="95" stopIfTrue="1" operator="notEqual">
      <formula>#REF!</formula>
    </cfRule>
  </conditionalFormatting>
  <conditionalFormatting sqref="O1 V1:AG1 K55:L58 F1:L54 F59:L1048576 C1:E1048576">
    <cfRule type="expression" dxfId="622" priority="90">
      <formula>$A1="程式組"</formula>
    </cfRule>
    <cfRule type="expression" dxfId="621" priority="91">
      <formula>$A1="網路組"</formula>
    </cfRule>
    <cfRule type="expression" dxfId="620" priority="92">
      <formula>$A1="作業組"</formula>
    </cfRule>
    <cfRule type="expression" dxfId="619" priority="93">
      <formula>$A1="教學組"</formula>
    </cfRule>
    <cfRule type="expression" dxfId="618" priority="94">
      <formula>$A1="行政室"</formula>
    </cfRule>
  </conditionalFormatting>
  <conditionalFormatting sqref="O1 V1:AG1">
    <cfRule type="cellIs" dxfId="617" priority="79" stopIfTrue="1" operator="notEqual">
      <formula>#REF!</formula>
    </cfRule>
    <cfRule type="expression" dxfId="616" priority="80">
      <formula>#REF!="程式組"</formula>
    </cfRule>
    <cfRule type="expression" dxfId="615" priority="81">
      <formula>#REF!="網路組"</formula>
    </cfRule>
    <cfRule type="expression" dxfId="614" priority="82">
      <formula>#REF!="作業組"</formula>
    </cfRule>
    <cfRule type="expression" dxfId="613" priority="83">
      <formula>#REF!="教學組"</formula>
    </cfRule>
    <cfRule type="expression" dxfId="612" priority="84">
      <formula>#REF!="行政室"</formula>
    </cfRule>
  </conditionalFormatting>
  <conditionalFormatting sqref="O1">
    <cfRule type="expression" dxfId="611" priority="74">
      <formula>#REF!="程式組"</formula>
    </cfRule>
    <cfRule type="expression" dxfId="610" priority="75">
      <formula>#REF!="網路組"</formula>
    </cfRule>
    <cfRule type="expression" dxfId="609" priority="76">
      <formula>#REF!="作業組"</formula>
    </cfRule>
    <cfRule type="expression" dxfId="608" priority="77">
      <formula>#REF!="教學組"</formula>
    </cfRule>
    <cfRule type="expression" dxfId="607" priority="78">
      <formula>#REF!="行政室"</formula>
    </cfRule>
  </conditionalFormatting>
  <conditionalFormatting sqref="W1:AG1">
    <cfRule type="expression" dxfId="606" priority="85">
      <formula>#REF!="程式組"</formula>
    </cfRule>
  </conditionalFormatting>
  <conditionalFormatting sqref="E1:E10">
    <cfRule type="expression" dxfId="605" priority="35">
      <formula>#REF!="程式組"</formula>
    </cfRule>
    <cfRule type="expression" dxfId="604" priority="36">
      <formula>#REF!="網路組"</formula>
    </cfRule>
  </conditionalFormatting>
  <conditionalFormatting sqref="E1:E21">
    <cfRule type="expression" dxfId="603" priority="37">
      <formula>#REF!="作業組"</formula>
    </cfRule>
    <cfRule type="expression" dxfId="602" priority="38">
      <formula>#REF!="教學組"</formula>
    </cfRule>
    <cfRule type="expression" dxfId="601" priority="39">
      <formula>#REF!="行政室"</formula>
    </cfRule>
  </conditionalFormatting>
  <conditionalFormatting sqref="E11:E21">
    <cfRule type="expression" dxfId="600" priority="40">
      <formula>#REF!="程式組"</formula>
    </cfRule>
    <cfRule type="expression" dxfId="599" priority="41">
      <formula>#REF!="網路組"</formula>
    </cfRule>
  </conditionalFormatting>
  <conditionalFormatting sqref="E35">
    <cfRule type="expression" dxfId="598" priority="25">
      <formula>#REF!="作業組"</formula>
    </cfRule>
    <cfRule type="expression" dxfId="597" priority="26">
      <formula>#REF!="教學組"</formula>
    </cfRule>
    <cfRule type="expression" dxfId="596" priority="27">
      <formula>#REF!="行政室"</formula>
    </cfRule>
  </conditionalFormatting>
  <conditionalFormatting sqref="E35">
    <cfRule type="expression" dxfId="595" priority="28">
      <formula>#REF!="程式組"</formula>
    </cfRule>
    <cfRule type="expression" dxfId="594" priority="29">
      <formula>#REF!="網路組"</formula>
    </cfRule>
  </conditionalFormatting>
  <conditionalFormatting sqref="W18:AG18">
    <cfRule type="expression" dxfId="593" priority="20">
      <formula>$A16="程式組"</formula>
    </cfRule>
    <cfRule type="expression" dxfId="592" priority="21">
      <formula>$A16="網路組"</formula>
    </cfRule>
    <cfRule type="expression" dxfId="591" priority="22">
      <formula>$A16="作業組"</formula>
    </cfRule>
    <cfRule type="expression" dxfId="590" priority="23">
      <formula>$A16="教學組"</formula>
    </cfRule>
    <cfRule type="expression" dxfId="589" priority="24">
      <formula>$A16="行政室"</formula>
    </cfRule>
  </conditionalFormatting>
  <conditionalFormatting sqref="W18:AG18">
    <cfRule type="cellIs" dxfId="588" priority="13" stopIfTrue="1" operator="notEqual">
      <formula>#REF!</formula>
    </cfRule>
    <cfRule type="expression" dxfId="587" priority="14">
      <formula>#REF!="程式組"</formula>
    </cfRule>
    <cfRule type="expression" dxfId="586" priority="15">
      <formula>#REF!="網路組"</formula>
    </cfRule>
    <cfRule type="expression" dxfId="585" priority="16">
      <formula>#REF!="作業組"</formula>
    </cfRule>
    <cfRule type="expression" dxfId="584" priority="17">
      <formula>#REF!="教學組"</formula>
    </cfRule>
    <cfRule type="expression" dxfId="583" priority="18">
      <formula>#REF!="行政室"</formula>
    </cfRule>
  </conditionalFormatting>
  <conditionalFormatting sqref="W18:AG18">
    <cfRule type="expression" dxfId="582" priority="19">
      <formula>#REF!="程式組"</formula>
    </cfRule>
  </conditionalFormatting>
  <conditionalFormatting sqref="W29:AG29">
    <cfRule type="expression" dxfId="581" priority="8">
      <formula>$A27="程式組"</formula>
    </cfRule>
    <cfRule type="expression" dxfId="580" priority="9">
      <formula>$A27="網路組"</formula>
    </cfRule>
    <cfRule type="expression" dxfId="579" priority="10">
      <formula>$A27="作業組"</formula>
    </cfRule>
    <cfRule type="expression" dxfId="578" priority="11">
      <formula>$A27="教學組"</formula>
    </cfRule>
    <cfRule type="expression" dxfId="577" priority="12">
      <formula>$A27="行政室"</formula>
    </cfRule>
  </conditionalFormatting>
  <conditionalFormatting sqref="W29:AG29">
    <cfRule type="cellIs" dxfId="576" priority="1" stopIfTrue="1" operator="notEqual">
      <formula>#REF!</formula>
    </cfRule>
    <cfRule type="expression" dxfId="575" priority="2">
      <formula>#REF!="程式組"</formula>
    </cfRule>
    <cfRule type="expression" dxfId="574" priority="3">
      <formula>#REF!="網路組"</formula>
    </cfRule>
    <cfRule type="expression" dxfId="573" priority="4">
      <formula>#REF!="作業組"</formula>
    </cfRule>
    <cfRule type="expression" dxfId="572" priority="5">
      <formula>#REF!="教學組"</formula>
    </cfRule>
    <cfRule type="expression" dxfId="571" priority="6">
      <formula>#REF!="行政室"</formula>
    </cfRule>
  </conditionalFormatting>
  <conditionalFormatting sqref="W29:AG29">
    <cfRule type="expression" dxfId="570" priority="7">
      <formula>#REF!="程式組"</formula>
    </cfRule>
  </conditionalFormatting>
  <dataValidations count="2">
    <dataValidation type="list" allowBlank="1" showInputMessage="1" showErrorMessage="1" sqref="Y2 O2" xr:uid="{6F319B8A-8991-495B-84C6-179E3D857AE4}">
      <formula1>OFFSET(組別,1,0,COUNTA(組別)-1,1)</formula1>
    </dataValidation>
    <dataValidation type="list" allowBlank="1" showInputMessage="1" showErrorMessage="1" sqref="R2" xr:uid="{5F190D44-7BEE-499F-9877-377F9DF908A6}">
      <formula1>"1,2,3,4,5,6,7,8,9,10,11,12"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029C2E-9AA0-48F2-9084-AC01D3806B7F}">
          <x14:formula1>
            <xm:f>item!$B$2:$B$6</xm:f>
          </x14:formula1>
          <xm:sqref>S2</xm:sqref>
        </x14:dataValidation>
        <x14:dataValidation type="list" allowBlank="1" showInputMessage="1" showErrorMessage="1" xr:uid="{C3F405DE-B472-4887-B1BB-4305718412A5}">
          <x14:formula1>
            <xm:f>item!$D$2:$D$14</xm:f>
          </x14:formula1>
          <xm:sqref>T2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FDFE-BF0B-4FFD-9FF9-0FA2739B81A2}">
  <sheetPr>
    <tabColor theme="7" tint="0.59999389629810485"/>
  </sheetPr>
  <dimension ref="A1:AG58"/>
  <sheetViews>
    <sheetView workbookViewId="0">
      <selection activeCell="U11" sqref="U11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9.4140625" style="99" customWidth="1"/>
    <col min="4" max="4" width="8.66406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5.5" style="100" bestFit="1" customWidth="1"/>
    <col min="11" max="11" width="4.33203125" style="23" customWidth="1"/>
    <col min="12" max="13" width="4.58203125" customWidth="1"/>
    <col min="15" max="15" width="13.83203125" customWidth="1"/>
    <col min="16" max="16" width="6.33203125" customWidth="1"/>
    <col min="17" max="17" width="10.58203125" customWidth="1"/>
    <col min="18" max="18" width="7.58203125" customWidth="1"/>
    <col min="19" max="19" width="8" customWidth="1"/>
    <col min="20" max="20" width="9.58203125" customWidth="1"/>
    <col min="21" max="21" width="11.08203125" bestFit="1" customWidth="1"/>
    <col min="22" max="22" width="6.83203125" customWidth="1"/>
    <col min="23" max="23" width="6.08203125" customWidth="1"/>
    <col min="26" max="26" width="8.5" customWidth="1"/>
    <col min="27" max="27" width="7.33203125" customWidth="1"/>
    <col min="28" max="28" width="7.83203125" customWidth="1"/>
    <col min="29" max="29" width="7.6640625" customWidth="1"/>
    <col min="30" max="30" width="10.5" customWidth="1"/>
    <col min="31" max="31" width="5.83203125" bestFit="1" customWidth="1"/>
    <col min="32" max="32" width="3.58203125" bestFit="1" customWidth="1"/>
    <col min="33" max="33" width="10.75" bestFit="1" customWidth="1"/>
  </cols>
  <sheetData>
    <row r="1" spans="1:33" ht="30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N1" s="116" t="s">
        <v>623</v>
      </c>
      <c r="O1" t="s">
        <v>824</v>
      </c>
      <c r="P1" s="127"/>
      <c r="Q1" s="130" t="s">
        <v>822</v>
      </c>
      <c r="R1" s="130" t="s">
        <v>833</v>
      </c>
      <c r="S1" s="130" t="s">
        <v>834</v>
      </c>
      <c r="T1" s="127"/>
      <c r="U1" s="35" t="s">
        <v>822</v>
      </c>
      <c r="V1" s="33" t="str">
        <f>A1</f>
        <v>ID</v>
      </c>
      <c r="W1" s="33" t="str">
        <f t="shared" ref="W1:AF1" si="0">B1</f>
        <v>Code_dpt</v>
      </c>
      <c r="X1" s="33" t="str">
        <f t="shared" si="0"/>
        <v>組別</v>
      </c>
      <c r="Y1" s="33" t="str">
        <f t="shared" si="0"/>
        <v>姓名</v>
      </c>
      <c r="Z1" s="33" t="str">
        <f t="shared" si="0"/>
        <v>職稱</v>
      </c>
      <c r="AA1" s="33" t="str">
        <f t="shared" si="0"/>
        <v>電話</v>
      </c>
      <c r="AB1" s="33" t="str">
        <f t="shared" si="0"/>
        <v>email</v>
      </c>
      <c r="AC1" s="33" t="str">
        <f t="shared" si="0"/>
        <v>辦公室</v>
      </c>
      <c r="AD1" s="33" t="str">
        <f t="shared" si="0"/>
        <v>到職日期</v>
      </c>
      <c r="AE1" s="33" t="str">
        <f t="shared" si="0"/>
        <v>備註</v>
      </c>
      <c r="AF1" s="33" t="str">
        <f t="shared" si="0"/>
        <v>NO</v>
      </c>
      <c r="AG1" s="35" t="s">
        <v>837</v>
      </c>
    </row>
    <row r="2" spans="1:33" ht="46.3" x14ac:dyDescent="0.4">
      <c r="A2" s="42" t="str">
        <f>B2&amp;TEXT(ROW()-1,"000")</f>
        <v>A001</v>
      </c>
      <c r="B2" s="42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N2" t="s">
        <v>632</v>
      </c>
      <c r="O2" s="126" t="s">
        <v>821</v>
      </c>
      <c r="P2" s="114"/>
      <c r="Q2" s="129">
        <v>1</v>
      </c>
      <c r="R2" t="s">
        <v>632</v>
      </c>
      <c r="S2" s="114" t="s">
        <v>634</v>
      </c>
      <c r="T2" s="114"/>
      <c r="U2" t="e" cm="1">
        <f t="array" ref="U2">_xlfn._xlws.FILTER(staff,(MONTH(到職日期)=Q2)*(組別=R2)*(職稱=S2),"本月無資料")</f>
        <v>#N/A</v>
      </c>
      <c r="V2" t="str" cm="1">
        <f t="array" ref="V2:AF6">_xlfn._xlws.SORT(_xlfn._xlws.FILTER(staff,MONTH(到職日期)=Q2,"本月無資料"),1,1,FALSE)</f>
        <v>A001</v>
      </c>
      <c r="W2" t="str">
        <v>A</v>
      </c>
      <c r="X2" t="str">
        <v>行政室</v>
      </c>
      <c r="Y2" t="str">
        <v>顏嗣鈞</v>
      </c>
      <c r="Z2" t="str">
        <v>主任</v>
      </c>
      <c r="AA2">
        <v>65001</v>
      </c>
      <c r="AB2" t="str">
        <v>hcyen@ntu.edu.tw</v>
      </c>
      <c r="AC2">
        <v>220</v>
      </c>
      <c r="AD2" s="128">
        <v>35796</v>
      </c>
      <c r="AE2">
        <v>0</v>
      </c>
      <c r="AF2" t="str">
        <v>01</v>
      </c>
    </row>
    <row r="3" spans="1:33" x14ac:dyDescent="0.4">
      <c r="A3" s="42" t="str">
        <f t="shared" ref="A3:A54" si="1">B3&amp;TEXT(ROW()-1,"000")</f>
        <v>A002</v>
      </c>
      <c r="B3" s="42" t="str">
        <f>VLOOKUP(C3,item!B:C,2,0)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56"/>
      <c r="K3" s="50" t="s">
        <v>643</v>
      </c>
      <c r="V3" t="str">
        <v>C013</v>
      </c>
      <c r="W3" t="str">
        <v>C</v>
      </c>
      <c r="X3" t="str">
        <v>作業組</v>
      </c>
      <c r="Y3" t="str">
        <v>張素芬</v>
      </c>
      <c r="Z3" t="str">
        <v>幹事</v>
      </c>
      <c r="AA3">
        <v>65059</v>
      </c>
      <c r="AB3" t="str">
        <v>michellecheung@ntu.edu.tw</v>
      </c>
      <c r="AC3">
        <v>109</v>
      </c>
      <c r="AD3" s="128">
        <v>36161</v>
      </c>
      <c r="AE3">
        <v>0</v>
      </c>
      <c r="AF3" t="str">
        <v>13</v>
      </c>
    </row>
    <row r="4" spans="1:33" x14ac:dyDescent="0.4">
      <c r="A4" s="42" t="str">
        <f t="shared" si="1"/>
        <v>A003</v>
      </c>
      <c r="B4" s="42" t="str">
        <f>VLOOKUP(C4,item!B:C,2,0)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56"/>
      <c r="K4" s="50" t="s">
        <v>647</v>
      </c>
      <c r="V4" t="str">
        <v>D025</v>
      </c>
      <c r="W4" t="str">
        <v>D</v>
      </c>
      <c r="X4" t="str">
        <v>網路組</v>
      </c>
      <c r="Y4" t="str">
        <v>游子興</v>
      </c>
      <c r="Z4" t="str">
        <v>副理</v>
      </c>
      <c r="AA4">
        <v>65008</v>
      </c>
      <c r="AB4" t="str">
        <v>davisyou@ntu.edu.tw</v>
      </c>
      <c r="AC4">
        <v>411</v>
      </c>
      <c r="AD4" s="128">
        <v>36526</v>
      </c>
      <c r="AE4">
        <v>0</v>
      </c>
      <c r="AF4" t="str">
        <v>25</v>
      </c>
    </row>
    <row r="5" spans="1:33" x14ac:dyDescent="0.4">
      <c r="A5" s="42" t="str">
        <f t="shared" si="1"/>
        <v>A004</v>
      </c>
      <c r="B5" s="42" t="str">
        <f>VLOOKUP(C5,item!B:C,2,0)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56"/>
      <c r="K5" s="50" t="s">
        <v>651</v>
      </c>
      <c r="V5" t="str">
        <v>E037</v>
      </c>
      <c r="W5" t="str">
        <v>E</v>
      </c>
      <c r="X5" t="str">
        <v>程式組</v>
      </c>
      <c r="Y5">
        <v>0</v>
      </c>
      <c r="Z5">
        <v>0</v>
      </c>
      <c r="AA5">
        <v>65040</v>
      </c>
      <c r="AB5">
        <v>0</v>
      </c>
      <c r="AC5">
        <v>200</v>
      </c>
      <c r="AD5" s="128">
        <v>36892</v>
      </c>
      <c r="AE5">
        <v>0</v>
      </c>
      <c r="AF5" t="str">
        <v>37</v>
      </c>
    </row>
    <row r="6" spans="1:33" x14ac:dyDescent="0.4">
      <c r="A6" s="42" t="str">
        <f t="shared" si="1"/>
        <v>A005</v>
      </c>
      <c r="B6" s="42" t="str">
        <f>VLOOKUP(C6,item!B:C,2,0)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62"/>
      <c r="K6" s="50" t="s">
        <v>655</v>
      </c>
      <c r="Q6" t="b" cm="1">
        <f t="array" ref="Q6:Q58">MONTH(I2:I54)=Q2</f>
        <v>1</v>
      </c>
      <c r="R6" t="b" cm="1">
        <f t="array" ref="R6:R11">組別=R2</f>
        <v>0</v>
      </c>
      <c r="S6" t="b" cm="1">
        <f t="array" ref="S6:S19">職稱=S2</f>
        <v>1</v>
      </c>
      <c r="V6" t="str">
        <v>E049</v>
      </c>
      <c r="W6" t="str">
        <v>E</v>
      </c>
      <c r="X6" t="str">
        <v>程式組</v>
      </c>
      <c r="Y6" t="str">
        <v>葉崇志</v>
      </c>
      <c r="Z6" t="str">
        <v>幹事</v>
      </c>
      <c r="AA6">
        <v>65056</v>
      </c>
      <c r="AB6" t="str">
        <v>chungchih@ntu.edu.tw</v>
      </c>
      <c r="AC6">
        <v>316</v>
      </c>
      <c r="AD6" s="128">
        <v>37257</v>
      </c>
      <c r="AE6">
        <v>0</v>
      </c>
      <c r="AF6" t="str">
        <v>49</v>
      </c>
    </row>
    <row r="7" spans="1:33" x14ac:dyDescent="0.4">
      <c r="A7" s="42" t="str">
        <f t="shared" si="1"/>
        <v>B006</v>
      </c>
      <c r="B7" s="42" t="str">
        <f>VLOOKUP(C7,item!B:C,2,0)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62"/>
      <c r="K7" s="50" t="s">
        <v>662</v>
      </c>
      <c r="Q7" t="b">
        <v>0</v>
      </c>
      <c r="R7" t="b">
        <v>1</v>
      </c>
      <c r="S7" t="b">
        <v>0</v>
      </c>
    </row>
    <row r="8" spans="1:33" x14ac:dyDescent="0.4">
      <c r="A8" s="42" t="str">
        <f t="shared" si="1"/>
        <v>B007</v>
      </c>
      <c r="B8" s="42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Q8" t="b">
        <v>0</v>
      </c>
      <c r="R8" t="b">
        <v>0</v>
      </c>
      <c r="S8" t="b">
        <v>0</v>
      </c>
    </row>
    <row r="9" spans="1:33" x14ac:dyDescent="0.4">
      <c r="A9" s="42" t="str">
        <f t="shared" si="1"/>
        <v>B008</v>
      </c>
      <c r="B9" s="42" t="str">
        <f>VLOOKUP(C9,item!B:C,2,0)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56"/>
      <c r="K9" s="50" t="s">
        <v>669</v>
      </c>
      <c r="Q9" t="b">
        <v>0</v>
      </c>
      <c r="R9" t="b">
        <v>0</v>
      </c>
      <c r="S9" t="b">
        <v>0</v>
      </c>
    </row>
    <row r="10" spans="1:33" x14ac:dyDescent="0.4">
      <c r="A10" s="42" t="str">
        <f t="shared" si="1"/>
        <v>B009</v>
      </c>
      <c r="B10" s="42" t="str">
        <f>VLOOKUP(C10,item!B:C,2,0)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68"/>
      <c r="K10" s="50" t="s">
        <v>672</v>
      </c>
      <c r="Q10" t="b">
        <v>0</v>
      </c>
      <c r="R10" t="b">
        <v>0</v>
      </c>
      <c r="S10" t="b">
        <v>0</v>
      </c>
    </row>
    <row r="11" spans="1:33" ht="45" x14ac:dyDescent="0.4">
      <c r="A11" s="42" t="str">
        <f t="shared" si="1"/>
        <v>C010</v>
      </c>
      <c r="B11" s="42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Q11" t="b">
        <v>0</v>
      </c>
      <c r="R11" t="b">
        <v>0</v>
      </c>
      <c r="S11" t="b">
        <v>0</v>
      </c>
      <c r="U11" s="131" t="s">
        <v>835</v>
      </c>
    </row>
    <row r="12" spans="1:33" x14ac:dyDescent="0.4">
      <c r="A12" s="42" t="str">
        <f t="shared" si="1"/>
        <v>C011</v>
      </c>
      <c r="B12" s="42" t="str">
        <f>VLOOKUP(C12,item!B:C,2,0)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56"/>
      <c r="K12" s="50" t="s">
        <v>679</v>
      </c>
      <c r="Q12" t="b">
        <v>0</v>
      </c>
      <c r="S12" t="b">
        <v>0</v>
      </c>
    </row>
    <row r="13" spans="1:33" x14ac:dyDescent="0.4">
      <c r="A13" s="42" t="str">
        <f t="shared" si="1"/>
        <v>C012</v>
      </c>
      <c r="B13" s="42" t="str">
        <f>VLOOKUP(C13,item!B:C,2,0)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56"/>
      <c r="K13" s="50" t="s">
        <v>682</v>
      </c>
      <c r="Q13" t="b">
        <v>0</v>
      </c>
      <c r="S13" t="b">
        <v>0</v>
      </c>
    </row>
    <row r="14" spans="1:33" x14ac:dyDescent="0.4">
      <c r="A14" s="42" t="str">
        <f t="shared" si="1"/>
        <v>C013</v>
      </c>
      <c r="B14" s="42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72"/>
      <c r="K14" s="50" t="s">
        <v>685</v>
      </c>
      <c r="Q14" t="b">
        <v>0</v>
      </c>
      <c r="S14" t="b">
        <v>0</v>
      </c>
    </row>
    <row r="15" spans="1:33" ht="16.75" x14ac:dyDescent="0.45">
      <c r="A15" s="42" t="str">
        <f t="shared" si="1"/>
        <v>C014</v>
      </c>
      <c r="B15" s="42" t="str">
        <f>VLOOKUP(C15,item!B:C,2,0)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56"/>
      <c r="K15" s="50" t="s">
        <v>688</v>
      </c>
      <c r="Q15" t="b">
        <v>0</v>
      </c>
      <c r="S15" t="b">
        <v>0</v>
      </c>
    </row>
    <row r="16" spans="1:33" ht="30" x14ac:dyDescent="0.4">
      <c r="A16" s="42" t="str">
        <f t="shared" si="1"/>
        <v>C015</v>
      </c>
      <c r="B16" s="42" t="str">
        <f>VLOOKUP(C16,item!B:C,2,0)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56"/>
      <c r="K16" s="50" t="s">
        <v>691</v>
      </c>
      <c r="Q16" t="b">
        <v>0</v>
      </c>
      <c r="S16" t="b">
        <v>0</v>
      </c>
      <c r="U16" s="35" t="s">
        <v>822</v>
      </c>
      <c r="V16" s="33" t="str">
        <f>A1</f>
        <v>ID</v>
      </c>
      <c r="W16" s="33" t="str">
        <f t="shared" ref="W16:AF16" si="2">B1</f>
        <v>Code_dpt</v>
      </c>
      <c r="X16" s="33" t="str">
        <f t="shared" si="2"/>
        <v>組別</v>
      </c>
      <c r="Y16" s="33" t="str">
        <f t="shared" si="2"/>
        <v>姓名</v>
      </c>
      <c r="Z16" s="33" t="str">
        <f t="shared" si="2"/>
        <v>職稱</v>
      </c>
      <c r="AA16" s="33" t="str">
        <f t="shared" si="2"/>
        <v>電話</v>
      </c>
      <c r="AB16" s="33" t="str">
        <f t="shared" si="2"/>
        <v>email</v>
      </c>
      <c r="AC16" s="33" t="str">
        <f t="shared" si="2"/>
        <v>辦公室</v>
      </c>
      <c r="AD16" s="33" t="str">
        <f t="shared" si="2"/>
        <v>到職日期</v>
      </c>
      <c r="AE16" s="33" t="str">
        <f t="shared" si="2"/>
        <v>備註</v>
      </c>
      <c r="AF16" s="33" t="str">
        <f t="shared" si="2"/>
        <v>NO</v>
      </c>
      <c r="AG16" s="35" t="s">
        <v>836</v>
      </c>
    </row>
    <row r="17" spans="1:32" x14ac:dyDescent="0.4">
      <c r="A17" s="42" t="str">
        <f t="shared" si="1"/>
        <v>C016</v>
      </c>
      <c r="B17" s="42" t="str">
        <f>VLOOKUP(C17,item!B:C,2,0)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56"/>
      <c r="K17" s="50" t="s">
        <v>694</v>
      </c>
      <c r="Q17" t="b">
        <v>0</v>
      </c>
      <c r="S17" t="b">
        <v>0</v>
      </c>
      <c r="U17" t="e" cm="1">
        <f t="array" ref="U17">_xlfn._xlws.FILTER(staff,(MONTH(到職日期)=Q2)*(組別=R2)*(職稱=S2),"本月無資料")</f>
        <v>#N/A</v>
      </c>
      <c r="V17" cm="1">
        <f t="array" ref="V17:AF21">_xlfn._xlws.SORT(_xlfn._xlws.FILTER(staff,MONTH(到職日期)=Q2,"本月無資料"),1,1,TRUE)</f>
        <v>220</v>
      </c>
      <c r="W17">
        <v>35796</v>
      </c>
      <c r="X17">
        <v>65001</v>
      </c>
      <c r="Y17" t="str">
        <v>01</v>
      </c>
      <c r="Z17" t="str">
        <v>A</v>
      </c>
      <c r="AA17" t="str">
        <v>A001</v>
      </c>
      <c r="AB17" t="str">
        <v>hcyen@ntu.edu.tw</v>
      </c>
      <c r="AC17" t="str">
        <v>主任</v>
      </c>
      <c r="AD17" s="128" t="str">
        <v>行政室</v>
      </c>
      <c r="AE17" t="str">
        <v>顏嗣鈞</v>
      </c>
      <c r="AF17">
        <v>0</v>
      </c>
    </row>
    <row r="18" spans="1:32" x14ac:dyDescent="0.4">
      <c r="A18" s="42" t="str">
        <f t="shared" si="1"/>
        <v>C017</v>
      </c>
      <c r="B18" s="42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Q18" t="b">
        <v>1</v>
      </c>
      <c r="S18" t="b">
        <v>0</v>
      </c>
      <c r="V18">
        <v>109</v>
      </c>
      <c r="W18">
        <v>36161</v>
      </c>
      <c r="X18">
        <v>65059</v>
      </c>
      <c r="Y18" t="str">
        <v>13</v>
      </c>
      <c r="Z18" t="str">
        <v>C</v>
      </c>
      <c r="AA18" t="str">
        <v>C013</v>
      </c>
      <c r="AB18" t="str">
        <v>michellecheung@ntu.edu.tw</v>
      </c>
      <c r="AC18" t="str">
        <v>幹事</v>
      </c>
      <c r="AD18" s="128" t="str">
        <v>作業組</v>
      </c>
      <c r="AE18" t="str">
        <v>張素芬</v>
      </c>
      <c r="AF18">
        <v>0</v>
      </c>
    </row>
    <row r="19" spans="1:32" x14ac:dyDescent="0.4">
      <c r="A19" s="42" t="str">
        <f t="shared" si="1"/>
        <v>C018</v>
      </c>
      <c r="B19" s="42" t="str">
        <f>VLOOKUP(C19,item!B:C,2,0)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56"/>
      <c r="K19" s="50" t="s">
        <v>700</v>
      </c>
      <c r="Q19" t="b">
        <v>0</v>
      </c>
      <c r="S19" t="b">
        <v>0</v>
      </c>
      <c r="V19">
        <v>411</v>
      </c>
      <c r="W19">
        <v>36526</v>
      </c>
      <c r="X19">
        <v>65008</v>
      </c>
      <c r="Y19" t="str">
        <v>25</v>
      </c>
      <c r="Z19" t="str">
        <v>D</v>
      </c>
      <c r="AA19" t="str">
        <v>D025</v>
      </c>
      <c r="AB19" t="str">
        <v>davisyou@ntu.edu.tw</v>
      </c>
      <c r="AC19" t="str">
        <v>副理</v>
      </c>
      <c r="AD19" s="128" t="str">
        <v>網路組</v>
      </c>
      <c r="AE19" t="str">
        <v>游子興</v>
      </c>
      <c r="AF19">
        <v>0</v>
      </c>
    </row>
    <row r="20" spans="1:32" x14ac:dyDescent="0.4">
      <c r="A20" s="42" t="str">
        <f t="shared" si="1"/>
        <v>C019</v>
      </c>
      <c r="B20" s="42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Q20" t="b">
        <v>0</v>
      </c>
      <c r="V20">
        <v>200</v>
      </c>
      <c r="W20">
        <v>36892</v>
      </c>
      <c r="X20">
        <v>65040</v>
      </c>
      <c r="Y20" t="str">
        <v>37</v>
      </c>
      <c r="Z20" t="str">
        <v>E</v>
      </c>
      <c r="AA20" t="str">
        <v>E037</v>
      </c>
      <c r="AB20">
        <v>0</v>
      </c>
      <c r="AC20">
        <v>0</v>
      </c>
      <c r="AD20" s="128" t="str">
        <v>程式組</v>
      </c>
      <c r="AE20">
        <v>0</v>
      </c>
      <c r="AF20">
        <v>0</v>
      </c>
    </row>
    <row r="21" spans="1:32" x14ac:dyDescent="0.4">
      <c r="A21" s="42" t="str">
        <f t="shared" si="1"/>
        <v>C020</v>
      </c>
      <c r="B21" s="42" t="str">
        <f>VLOOKUP(C21,item!B:C,2,0)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56"/>
      <c r="K21" s="50" t="s">
        <v>706</v>
      </c>
      <c r="Q21" t="b">
        <v>0</v>
      </c>
      <c r="V21">
        <v>316</v>
      </c>
      <c r="W21">
        <v>37257</v>
      </c>
      <c r="X21">
        <v>65056</v>
      </c>
      <c r="Y21" t="str">
        <v>49</v>
      </c>
      <c r="Z21" t="str">
        <v>E</v>
      </c>
      <c r="AA21" t="str">
        <v>E049</v>
      </c>
      <c r="AB21" t="str">
        <v>chungchih@ntu.edu.tw</v>
      </c>
      <c r="AC21" t="str">
        <v>幹事</v>
      </c>
      <c r="AD21" s="128" t="str">
        <v>程式組</v>
      </c>
      <c r="AE21" t="str">
        <v>葉崇志</v>
      </c>
      <c r="AF21">
        <v>0</v>
      </c>
    </row>
    <row r="22" spans="1:32" x14ac:dyDescent="0.4">
      <c r="A22" s="42" t="str">
        <f t="shared" si="1"/>
        <v>D021</v>
      </c>
      <c r="B22" s="42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Q22" t="b">
        <v>0</v>
      </c>
    </row>
    <row r="23" spans="1:32" x14ac:dyDescent="0.4">
      <c r="A23" s="42" t="str">
        <f t="shared" si="1"/>
        <v>D022</v>
      </c>
      <c r="B23" s="42" t="str">
        <f>VLOOKUP(C23,item!B:C,2,0)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56"/>
      <c r="K23" s="50" t="s">
        <v>714</v>
      </c>
      <c r="Q23" t="b">
        <v>0</v>
      </c>
    </row>
    <row r="24" spans="1:32" x14ac:dyDescent="0.4">
      <c r="A24" s="42" t="str">
        <f t="shared" si="1"/>
        <v>D023</v>
      </c>
      <c r="B24" s="42" t="str">
        <f>VLOOKUP(C24,item!B:C,2,0)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56"/>
      <c r="K24" s="50" t="s">
        <v>717</v>
      </c>
      <c r="Q24" t="b">
        <v>0</v>
      </c>
    </row>
    <row r="25" spans="1:32" ht="16.75" x14ac:dyDescent="0.45">
      <c r="A25" s="42" t="str">
        <f t="shared" si="1"/>
        <v>D024</v>
      </c>
      <c r="B25" s="42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56"/>
      <c r="K25" s="50" t="s">
        <v>721</v>
      </c>
      <c r="Q25" t="b">
        <v>0</v>
      </c>
    </row>
    <row r="26" spans="1:32" x14ac:dyDescent="0.4">
      <c r="A26" s="42" t="str">
        <f t="shared" si="1"/>
        <v>D025</v>
      </c>
      <c r="B26" s="42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87"/>
      <c r="K26" s="50" t="s">
        <v>724</v>
      </c>
      <c r="Q26" t="b">
        <v>0</v>
      </c>
    </row>
    <row r="27" spans="1:32" ht="16.75" x14ac:dyDescent="0.45">
      <c r="A27" s="42" t="str">
        <f t="shared" si="1"/>
        <v>D026</v>
      </c>
      <c r="B27" s="42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56"/>
      <c r="K27" s="50" t="s">
        <v>727</v>
      </c>
      <c r="Q27" t="b">
        <v>0</v>
      </c>
    </row>
    <row r="28" spans="1:32" ht="16.75" x14ac:dyDescent="0.45">
      <c r="A28" s="42" t="str">
        <f t="shared" si="1"/>
        <v>D027</v>
      </c>
      <c r="B28" s="42" t="str">
        <f>VLOOKUP(C28,item!B:C,2,0)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56"/>
      <c r="K28" s="50" t="s">
        <v>731</v>
      </c>
      <c r="Q28" t="b">
        <v>0</v>
      </c>
    </row>
    <row r="29" spans="1:32" ht="16.75" x14ac:dyDescent="0.45">
      <c r="A29" s="42" t="str">
        <f t="shared" si="1"/>
        <v>D028</v>
      </c>
      <c r="B29" s="42" t="str">
        <f>VLOOKUP(C29,item!B:C,2,0)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56"/>
      <c r="K29" s="50" t="s">
        <v>734</v>
      </c>
      <c r="Q29" t="b">
        <v>0</v>
      </c>
    </row>
    <row r="30" spans="1:32" ht="30" x14ac:dyDescent="0.4">
      <c r="A30" s="42" t="str">
        <f t="shared" si="1"/>
        <v>D029</v>
      </c>
      <c r="B30" s="42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Q30" t="b">
        <v>1</v>
      </c>
    </row>
    <row r="31" spans="1:32" ht="45" x14ac:dyDescent="0.4">
      <c r="A31" s="42" t="str">
        <f t="shared" si="1"/>
        <v>D030</v>
      </c>
      <c r="B31" s="42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Q31" t="b">
        <v>0</v>
      </c>
    </row>
    <row r="32" spans="1:32" ht="45" x14ac:dyDescent="0.4">
      <c r="A32" s="42" t="str">
        <f t="shared" si="1"/>
        <v>D031</v>
      </c>
      <c r="B32" s="42" t="str">
        <f>VLOOKUP(C32,item!B:C,2,0)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59"/>
      <c r="K32" s="50" t="s">
        <v>747</v>
      </c>
      <c r="Q32" t="b">
        <v>0</v>
      </c>
    </row>
    <row r="33" spans="1:17" ht="45" x14ac:dyDescent="0.4">
      <c r="A33" s="42" t="str">
        <f t="shared" si="1"/>
        <v>D032</v>
      </c>
      <c r="B33" s="42" t="str">
        <f>VLOOKUP(C33,item!B:C,2,0)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56"/>
      <c r="K33" s="50" t="s">
        <v>750</v>
      </c>
      <c r="Q33" t="b">
        <v>0</v>
      </c>
    </row>
    <row r="34" spans="1:17" x14ac:dyDescent="0.4">
      <c r="A34" s="42" t="str">
        <f t="shared" si="1"/>
        <v>E033</v>
      </c>
      <c r="B34" s="42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Q34" t="b">
        <v>0</v>
      </c>
    </row>
    <row r="35" spans="1:17" x14ac:dyDescent="0.4">
      <c r="A35" s="42" t="str">
        <f t="shared" si="1"/>
        <v>E034</v>
      </c>
      <c r="B35" s="42" t="str">
        <f>VLOOKUP(C35,item!B:C,2,0)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56"/>
      <c r="K35" s="50" t="s">
        <v>757</v>
      </c>
      <c r="Q35" t="b">
        <v>0</v>
      </c>
    </row>
    <row r="36" spans="1:17" x14ac:dyDescent="0.4">
      <c r="A36" s="42" t="str">
        <f t="shared" si="1"/>
        <v>E035</v>
      </c>
      <c r="B36" s="42" t="str">
        <f>VLOOKUP(C36,item!B:C,2,0)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62"/>
      <c r="K36" s="50" t="s">
        <v>760</v>
      </c>
      <c r="Q36" t="b">
        <v>0</v>
      </c>
    </row>
    <row r="37" spans="1:17" x14ac:dyDescent="0.4">
      <c r="A37" s="42" t="str">
        <f t="shared" si="1"/>
        <v>E036</v>
      </c>
      <c r="B37" s="42" t="str">
        <f>VLOOKUP(C37,item!B:C,2,0)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56"/>
      <c r="K37" s="50" t="s">
        <v>763</v>
      </c>
      <c r="Q37" t="b">
        <v>0</v>
      </c>
    </row>
    <row r="38" spans="1:17" x14ac:dyDescent="0.4">
      <c r="A38" s="42" t="str">
        <f t="shared" si="1"/>
        <v>E037</v>
      </c>
      <c r="B38" s="42" t="str">
        <f>VLOOKUP(C38,item!B:C,2,0)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56"/>
      <c r="K38" s="50" t="s">
        <v>764</v>
      </c>
      <c r="Q38" t="b">
        <v>0</v>
      </c>
    </row>
    <row r="39" spans="1:17" x14ac:dyDescent="0.4">
      <c r="A39" s="42" t="str">
        <f t="shared" si="1"/>
        <v>E038</v>
      </c>
      <c r="B39" s="42" t="str">
        <f>VLOOKUP(C39,item!B:C,2,0)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56"/>
      <c r="K39" s="50" t="s">
        <v>768</v>
      </c>
      <c r="Q39" t="b">
        <v>0</v>
      </c>
    </row>
    <row r="40" spans="1:17" x14ac:dyDescent="0.4">
      <c r="A40" s="42" t="str">
        <f t="shared" si="1"/>
        <v>E039</v>
      </c>
      <c r="B40" s="42" t="str">
        <f>VLOOKUP(C40,item!B:C,2,0)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72"/>
      <c r="K40" s="50" t="s">
        <v>769</v>
      </c>
      <c r="Q40" t="b">
        <v>0</v>
      </c>
    </row>
    <row r="41" spans="1:17" x14ac:dyDescent="0.4">
      <c r="A41" s="42" t="str">
        <f t="shared" si="1"/>
        <v>E040</v>
      </c>
      <c r="B41" s="42" t="str">
        <f>VLOOKUP(C41,item!B:C,2,0)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56"/>
      <c r="K41" s="50" t="s">
        <v>772</v>
      </c>
      <c r="Q41" t="b">
        <v>0</v>
      </c>
    </row>
    <row r="42" spans="1:17" x14ac:dyDescent="0.4">
      <c r="A42" s="42" t="str">
        <f t="shared" si="1"/>
        <v>E041</v>
      </c>
      <c r="B42" s="42" t="str">
        <f>VLOOKUP(C42,item!B:C,2,0)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56"/>
      <c r="K42" s="50" t="s">
        <v>775</v>
      </c>
      <c r="Q42" t="b">
        <v>1</v>
      </c>
    </row>
    <row r="43" spans="1:17" x14ac:dyDescent="0.4">
      <c r="A43" s="42" t="str">
        <f t="shared" si="1"/>
        <v>E042</v>
      </c>
      <c r="B43" s="42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Q43" t="b">
        <v>0</v>
      </c>
    </row>
    <row r="44" spans="1:17" x14ac:dyDescent="0.4">
      <c r="A44" s="42" t="str">
        <f t="shared" si="1"/>
        <v>E043</v>
      </c>
      <c r="B44" s="42" t="str">
        <f>VLOOKUP(C44,item!B:C,2,0)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72"/>
      <c r="K44" s="50" t="s">
        <v>781</v>
      </c>
      <c r="Q44" t="b">
        <v>0</v>
      </c>
    </row>
    <row r="45" spans="1:17" x14ac:dyDescent="0.4">
      <c r="A45" s="42" t="str">
        <f t="shared" si="1"/>
        <v>E044</v>
      </c>
      <c r="B45" s="42" t="str">
        <f>VLOOKUP(C45,item!B:C,2,0)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56"/>
      <c r="K45" s="50" t="s">
        <v>784</v>
      </c>
      <c r="Q45" t="b">
        <v>0</v>
      </c>
    </row>
    <row r="46" spans="1:17" x14ac:dyDescent="0.4">
      <c r="A46" s="42" t="str">
        <f t="shared" si="1"/>
        <v>E045</v>
      </c>
      <c r="B46" s="42" t="str">
        <f>VLOOKUP(C46,item!B:C,2,0)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56"/>
      <c r="K46" s="50" t="s">
        <v>787</v>
      </c>
      <c r="Q46" t="b">
        <v>0</v>
      </c>
    </row>
    <row r="47" spans="1:17" x14ac:dyDescent="0.4">
      <c r="A47" s="42" t="str">
        <f t="shared" si="1"/>
        <v>E046</v>
      </c>
      <c r="B47" s="42" t="str">
        <f>VLOOKUP(C47,item!B:C,2,0)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56"/>
      <c r="K47" s="50" t="s">
        <v>790</v>
      </c>
      <c r="Q47" t="b">
        <v>0</v>
      </c>
    </row>
    <row r="48" spans="1:17" x14ac:dyDescent="0.4">
      <c r="A48" s="42" t="str">
        <f t="shared" si="1"/>
        <v>E047</v>
      </c>
      <c r="B48" s="42" t="str">
        <f>VLOOKUP(C48,item!B:C,2,0)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56"/>
      <c r="K48" s="50" t="s">
        <v>793</v>
      </c>
      <c r="Q48" t="b">
        <v>0</v>
      </c>
    </row>
    <row r="49" spans="1:17" x14ac:dyDescent="0.4">
      <c r="A49" s="42" t="str">
        <f t="shared" si="1"/>
        <v>E048</v>
      </c>
      <c r="B49" s="42" t="str">
        <f>VLOOKUP(C49,item!B:C,2,0)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72"/>
      <c r="K49" s="50" t="s">
        <v>794</v>
      </c>
      <c r="Q49" t="b">
        <v>0</v>
      </c>
    </row>
    <row r="50" spans="1:17" x14ac:dyDescent="0.4">
      <c r="A50" s="42" t="str">
        <f t="shared" si="1"/>
        <v>E049</v>
      </c>
      <c r="B50" s="42" t="str">
        <f>VLOOKUP(C50,item!B:C,2,0)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56"/>
      <c r="K50" s="50" t="s">
        <v>797</v>
      </c>
      <c r="Q50" t="b">
        <v>0</v>
      </c>
    </row>
    <row r="51" spans="1:17" x14ac:dyDescent="0.4">
      <c r="A51" s="42" t="str">
        <f t="shared" si="1"/>
        <v>E050</v>
      </c>
      <c r="B51" s="42" t="str">
        <f>VLOOKUP(C51,item!B:C,2,0)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62"/>
      <c r="K51" s="50" t="s">
        <v>800</v>
      </c>
      <c r="Q51" t="b">
        <v>0</v>
      </c>
    </row>
    <row r="52" spans="1:17" x14ac:dyDescent="0.4">
      <c r="A52" s="42" t="str">
        <f t="shared" si="1"/>
        <v>E051</v>
      </c>
      <c r="B52" s="42" t="str">
        <f>VLOOKUP(C52,item!B:C,2,0)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62"/>
      <c r="K52" s="50" t="s">
        <v>803</v>
      </c>
      <c r="Q52" t="b">
        <v>0</v>
      </c>
    </row>
    <row r="53" spans="1:17" ht="30" x14ac:dyDescent="0.4">
      <c r="A53" s="42" t="str">
        <f t="shared" si="1"/>
        <v>E052</v>
      </c>
      <c r="B53" s="42" t="str">
        <f>VLOOKUP(C53,item!B:C,2,0)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62"/>
      <c r="K53" s="50" t="s">
        <v>807</v>
      </c>
      <c r="Q53" t="b">
        <v>0</v>
      </c>
    </row>
    <row r="54" spans="1:17" x14ac:dyDescent="0.4">
      <c r="A54" s="42" t="str">
        <f t="shared" si="1"/>
        <v>E053</v>
      </c>
      <c r="B54" s="42" t="str">
        <f>VLOOKUP(C54,item!B:C,2,0)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97"/>
      <c r="K54" s="50" t="s">
        <v>810</v>
      </c>
      <c r="Q54" t="b">
        <v>1</v>
      </c>
    </row>
    <row r="55" spans="1:17" x14ac:dyDescent="0.4">
      <c r="Q55" t="b">
        <v>0</v>
      </c>
    </row>
    <row r="56" spans="1:17" x14ac:dyDescent="0.4">
      <c r="Q56" t="b">
        <v>0</v>
      </c>
    </row>
    <row r="57" spans="1:17" x14ac:dyDescent="0.4">
      <c r="Q57" t="b">
        <v>0</v>
      </c>
    </row>
    <row r="58" spans="1:17" x14ac:dyDescent="0.4">
      <c r="Q58" t="b">
        <v>0</v>
      </c>
    </row>
  </sheetData>
  <phoneticPr fontId="14" type="noConversion"/>
  <conditionalFormatting sqref="C1:D10 F1:J10">
    <cfRule type="expression" dxfId="569" priority="70">
      <formula>#REF!="程式組"</formula>
    </cfRule>
    <cfRule type="expression" dxfId="568" priority="71">
      <formula>#REF!="網路組"</formula>
    </cfRule>
  </conditionalFormatting>
  <conditionalFormatting sqref="C1:D21 F1:J21">
    <cfRule type="expression" dxfId="567" priority="72">
      <formula>#REF!="作業組"</formula>
    </cfRule>
    <cfRule type="expression" dxfId="566" priority="73">
      <formula>#REF!="教學組"</formula>
    </cfRule>
    <cfRule type="expression" dxfId="565" priority="74">
      <formula>#REF!="行政室"</formula>
    </cfRule>
  </conditionalFormatting>
  <conditionalFormatting sqref="C11:D21 F11:J21">
    <cfRule type="expression" dxfId="564" priority="75">
      <formula>#REF!="程式組"</formula>
    </cfRule>
    <cfRule type="expression" dxfId="563" priority="76">
      <formula>#REF!="網路組"</formula>
    </cfRule>
  </conditionalFormatting>
  <conditionalFormatting sqref="I1:I65522">
    <cfRule type="cellIs" dxfId="562" priority="69" stopIfTrue="1" operator="notEqual">
      <formula>#REF!</formula>
    </cfRule>
  </conditionalFormatting>
  <conditionalFormatting sqref="N1 U1:AF1 J55:K58 C1:D1048576 V16:AG16 F59:K1048576 F1:K54">
    <cfRule type="expression" dxfId="561" priority="64">
      <formula>$A1="程式組"</formula>
    </cfRule>
    <cfRule type="expression" dxfId="560" priority="65">
      <formula>$A1="網路組"</formula>
    </cfRule>
    <cfRule type="expression" dxfId="559" priority="66">
      <formula>$A1="作業組"</formula>
    </cfRule>
    <cfRule type="expression" dxfId="558" priority="67">
      <formula>$A1="教學組"</formula>
    </cfRule>
    <cfRule type="expression" dxfId="557" priority="68">
      <formula>$A1="行政室"</formula>
    </cfRule>
  </conditionalFormatting>
  <conditionalFormatting sqref="N1 U1:AF1 V16:AG16">
    <cfRule type="cellIs" dxfId="556" priority="57" stopIfTrue="1" operator="notEqual">
      <formula>#REF!</formula>
    </cfRule>
    <cfRule type="expression" dxfId="555" priority="58">
      <formula>#REF!="程式組"</formula>
    </cfRule>
    <cfRule type="expression" dxfId="554" priority="59">
      <formula>#REF!="網路組"</formula>
    </cfRule>
    <cfRule type="expression" dxfId="553" priority="60">
      <formula>#REF!="作業組"</formula>
    </cfRule>
    <cfRule type="expression" dxfId="552" priority="61">
      <formula>#REF!="教學組"</formula>
    </cfRule>
    <cfRule type="expression" dxfId="551" priority="62">
      <formula>#REF!="行政室"</formula>
    </cfRule>
  </conditionalFormatting>
  <conditionalFormatting sqref="N1">
    <cfRule type="expression" dxfId="550" priority="52">
      <formula>#REF!="程式組"</formula>
    </cfRule>
    <cfRule type="expression" dxfId="549" priority="53">
      <formula>#REF!="網路組"</formula>
    </cfRule>
    <cfRule type="expression" dxfId="548" priority="54">
      <formula>#REF!="作業組"</formula>
    </cfRule>
    <cfRule type="expression" dxfId="547" priority="55">
      <formula>#REF!="教學組"</formula>
    </cfRule>
    <cfRule type="expression" dxfId="546" priority="56">
      <formula>#REF!="行政室"</formula>
    </cfRule>
  </conditionalFormatting>
  <conditionalFormatting sqref="V1:AF1">
    <cfRule type="expression" dxfId="545" priority="63">
      <formula>#REF!="程式組"</formula>
    </cfRule>
  </conditionalFormatting>
  <conditionalFormatting sqref="V16:AF16">
    <cfRule type="expression" dxfId="544" priority="46">
      <formula>#REF!="程式組"</formula>
    </cfRule>
  </conditionalFormatting>
  <conditionalFormatting sqref="AG1">
    <cfRule type="expression" dxfId="543" priority="35">
      <formula>$A1="程式組"</formula>
    </cfRule>
    <cfRule type="expression" dxfId="542" priority="36">
      <formula>$A1="網路組"</formula>
    </cfRule>
    <cfRule type="expression" dxfId="541" priority="37">
      <formula>$A1="作業組"</formula>
    </cfRule>
    <cfRule type="expression" dxfId="540" priority="38">
      <formula>$A1="教學組"</formula>
    </cfRule>
    <cfRule type="expression" dxfId="539" priority="39">
      <formula>$A1="行政室"</formula>
    </cfRule>
  </conditionalFormatting>
  <conditionalFormatting sqref="AG1">
    <cfRule type="cellIs" dxfId="538" priority="29" stopIfTrue="1" operator="notEqual">
      <formula>#REF!</formula>
    </cfRule>
    <cfRule type="expression" dxfId="537" priority="30">
      <formula>#REF!="程式組"</formula>
    </cfRule>
    <cfRule type="expression" dxfId="536" priority="31">
      <formula>#REF!="網路組"</formula>
    </cfRule>
    <cfRule type="expression" dxfId="535" priority="32">
      <formula>#REF!="作業組"</formula>
    </cfRule>
    <cfRule type="expression" dxfId="534" priority="33">
      <formula>#REF!="教學組"</formula>
    </cfRule>
    <cfRule type="expression" dxfId="533" priority="34">
      <formula>#REF!="行政室"</formula>
    </cfRule>
  </conditionalFormatting>
  <conditionalFormatting sqref="U16">
    <cfRule type="expression" dxfId="532" priority="24">
      <formula>$A16="程式組"</formula>
    </cfRule>
    <cfRule type="expression" dxfId="531" priority="25">
      <formula>$A16="網路組"</formula>
    </cfRule>
    <cfRule type="expression" dxfId="530" priority="26">
      <formula>$A16="作業組"</formula>
    </cfRule>
    <cfRule type="expression" dxfId="529" priority="27">
      <formula>$A16="教學組"</formula>
    </cfRule>
    <cfRule type="expression" dxfId="528" priority="28">
      <formula>$A16="行政室"</formula>
    </cfRule>
  </conditionalFormatting>
  <conditionalFormatting sqref="U16">
    <cfRule type="cellIs" dxfId="527" priority="18" stopIfTrue="1" operator="notEqual">
      <formula>#REF!</formula>
    </cfRule>
    <cfRule type="expression" dxfId="526" priority="19">
      <formula>#REF!="程式組"</formula>
    </cfRule>
    <cfRule type="expression" dxfId="525" priority="20">
      <formula>#REF!="網路組"</formula>
    </cfRule>
    <cfRule type="expression" dxfId="524" priority="21">
      <formula>#REF!="作業組"</formula>
    </cfRule>
    <cfRule type="expression" dxfId="523" priority="22">
      <formula>#REF!="教學組"</formula>
    </cfRule>
    <cfRule type="expression" dxfId="522" priority="23">
      <formula>#REF!="行政室"</formula>
    </cfRule>
  </conditionalFormatting>
  <conditionalFormatting sqref="E1:E10">
    <cfRule type="expression" dxfId="521" priority="11">
      <formula>#REF!="程式組"</formula>
    </cfRule>
    <cfRule type="expression" dxfId="520" priority="12">
      <formula>#REF!="網路組"</formula>
    </cfRule>
  </conditionalFormatting>
  <conditionalFormatting sqref="E1:E21">
    <cfRule type="expression" dxfId="519" priority="13">
      <formula>#REF!="作業組"</formula>
    </cfRule>
    <cfRule type="expression" dxfId="518" priority="14">
      <formula>#REF!="教學組"</formula>
    </cfRule>
    <cfRule type="expression" dxfId="517" priority="15">
      <formula>#REF!="行政室"</formula>
    </cfRule>
  </conditionalFormatting>
  <conditionalFormatting sqref="E11:E21">
    <cfRule type="expression" dxfId="516" priority="16">
      <formula>#REF!="程式組"</formula>
    </cfRule>
    <cfRule type="expression" dxfId="515" priority="17">
      <formula>#REF!="網路組"</formula>
    </cfRule>
  </conditionalFormatting>
  <conditionalFormatting sqref="E1:E1048576">
    <cfRule type="expression" dxfId="514" priority="6">
      <formula>$A1="程式組"</formula>
    </cfRule>
    <cfRule type="expression" dxfId="513" priority="7">
      <formula>$A1="網路組"</formula>
    </cfRule>
    <cfRule type="expression" dxfId="512" priority="8">
      <formula>$A1="作業組"</formula>
    </cfRule>
    <cfRule type="expression" dxfId="511" priority="9">
      <formula>$A1="教學組"</formula>
    </cfRule>
    <cfRule type="expression" dxfId="510" priority="10">
      <formula>$A1="行政室"</formula>
    </cfRule>
  </conditionalFormatting>
  <conditionalFormatting sqref="E35">
    <cfRule type="expression" dxfId="509" priority="1">
      <formula>#REF!="作業組"</formula>
    </cfRule>
    <cfRule type="expression" dxfId="508" priority="2">
      <formula>#REF!="教學組"</formula>
    </cfRule>
    <cfRule type="expression" dxfId="507" priority="3">
      <formula>#REF!="行政室"</formula>
    </cfRule>
  </conditionalFormatting>
  <conditionalFormatting sqref="E35">
    <cfRule type="expression" dxfId="506" priority="4">
      <formula>#REF!="程式組"</formula>
    </cfRule>
    <cfRule type="expression" dxfId="505" priority="5">
      <formula>#REF!="網路組"</formula>
    </cfRule>
  </conditionalFormatting>
  <dataValidations count="2">
    <dataValidation type="list" allowBlank="1" showInputMessage="1" showErrorMessage="1" sqref="X2 N2 X17" xr:uid="{DCE4FE4A-7716-447B-9403-0E03C6BA0C52}">
      <formula1>OFFSET(組別,1,0,COUNTA(組別)-1,1)</formula1>
    </dataValidation>
    <dataValidation type="list" allowBlank="1" showInputMessage="1" showErrorMessage="1" sqref="Q2" xr:uid="{7EFA5A6F-F3CE-4CA8-871E-D32DD5114335}">
      <formula1>"1,2,3,4,5,6,7,8,9,10,11,12"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92BE88-BBCD-42A6-801A-3B5ED2CF52F5}">
          <x14:formula1>
            <xm:f>item!$B$2:$B$6</xm:f>
          </x14:formula1>
          <xm:sqref>R2</xm:sqref>
        </x14:dataValidation>
        <x14:dataValidation type="list" allowBlank="1" showInputMessage="1" showErrorMessage="1" xr:uid="{EEF436D1-B000-412E-B75D-0AEDB94D4F6F}">
          <x14:formula1>
            <xm:f>item!$D$2:$D$14</xm:f>
          </x14:formula1>
          <xm:sqref>S2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8BBB-7FA0-4DF3-B7E8-E34699C1B44B}">
  <sheetPr>
    <tabColor theme="7" tint="-0.249977111117893"/>
  </sheetPr>
  <dimension ref="A1:AI99"/>
  <sheetViews>
    <sheetView tabSelected="1" topLeftCell="A31" workbookViewId="0">
      <selection activeCell="X32" sqref="X32"/>
    </sheetView>
  </sheetViews>
  <sheetFormatPr defaultRowHeight="15.45" x14ac:dyDescent="0.4"/>
  <cols>
    <col min="1" max="1" width="5.6640625" style="100" customWidth="1"/>
    <col min="2" max="2" width="11.4140625" style="100" customWidth="1"/>
    <col min="3" max="3" width="9.4140625" style="23" customWidth="1"/>
    <col min="4" max="4" width="8.6640625" style="23"/>
    <col min="5" max="5" width="12.08203125" style="23" customWidth="1"/>
    <col min="6" max="6" width="7.5" style="100" hidden="1" customWidth="1"/>
    <col min="7" max="7" width="8.08203125" style="23" hidden="1" customWidth="1"/>
    <col min="8" max="8" width="7.6640625" style="100" hidden="1" customWidth="1"/>
    <col min="9" max="9" width="11.9140625" style="101" customWidth="1"/>
    <col min="10" max="10" width="6.83203125" style="166" customWidth="1"/>
    <col min="11" max="11" width="7.4140625" style="100" customWidth="1"/>
    <col min="12" max="12" width="6.4140625" style="23" customWidth="1"/>
    <col min="13" max="14" width="5.08203125" style="23" customWidth="1"/>
    <col min="15" max="15" width="8.6640625" style="23"/>
    <col min="16" max="16" width="13.83203125" style="23" customWidth="1"/>
    <col min="17" max="17" width="7.6640625" style="23" bestFit="1" customWidth="1"/>
    <col min="18" max="18" width="9.9140625" style="23" customWidth="1"/>
    <col min="19" max="19" width="9.83203125" style="23" bestFit="1" customWidth="1"/>
    <col min="20" max="20" width="8.75" style="23" customWidth="1"/>
    <col min="21" max="21" width="21" style="23" customWidth="1"/>
    <col min="22" max="22" width="7.5" style="23" bestFit="1" customWidth="1"/>
    <col min="23" max="23" width="13.4140625" style="23" customWidth="1"/>
    <col min="24" max="24" width="11.33203125" style="23" customWidth="1"/>
    <col min="25" max="25" width="10.1640625" style="23" customWidth="1"/>
    <col min="26" max="26" width="12.1640625" style="23" customWidth="1"/>
    <col min="27" max="27" width="12" style="23" customWidth="1"/>
    <col min="28" max="28" width="11.1640625" style="23" customWidth="1"/>
    <col min="29" max="29" width="8.75" style="23" customWidth="1"/>
    <col min="30" max="30" width="12.6640625" style="23" customWidth="1"/>
    <col min="31" max="31" width="7.6640625" style="23" customWidth="1"/>
    <col min="32" max="32" width="10.5" style="23" customWidth="1"/>
    <col min="33" max="33" width="8.9140625" style="23" customWidth="1"/>
    <col min="34" max="34" width="3.58203125" style="23" bestFit="1" customWidth="1"/>
    <col min="35" max="16384" width="8.6640625" style="23"/>
  </cols>
  <sheetData>
    <row r="1" spans="1:34" ht="36" x14ac:dyDescent="0.4">
      <c r="A1" s="171" t="s">
        <v>621</v>
      </c>
      <c r="B1" s="171" t="s">
        <v>622</v>
      </c>
      <c r="C1" s="172" t="s">
        <v>623</v>
      </c>
      <c r="D1" s="172" t="s">
        <v>624</v>
      </c>
      <c r="E1" s="172" t="s">
        <v>625</v>
      </c>
      <c r="F1" s="172" t="s">
        <v>626</v>
      </c>
      <c r="G1" s="173" t="s">
        <v>627</v>
      </c>
      <c r="H1" s="172" t="s">
        <v>628</v>
      </c>
      <c r="I1" s="174" t="s">
        <v>629</v>
      </c>
      <c r="J1" s="175" t="s">
        <v>822</v>
      </c>
      <c r="K1" s="172" t="s">
        <v>630</v>
      </c>
      <c r="L1" s="176" t="s">
        <v>631</v>
      </c>
      <c r="O1" s="116" t="s">
        <v>623</v>
      </c>
      <c r="P1" s="23" t="s">
        <v>824</v>
      </c>
      <c r="Q1" s="116" t="str" cm="1">
        <f t="array" ref="Q1:Q7">_xlfn.UNIQUE(C:C)</f>
        <v>組別</v>
      </c>
      <c r="R1" s="130" t="s">
        <v>822</v>
      </c>
      <c r="S1" s="130" t="str" cm="1">
        <f t="array" ref="S1:S14">_xlfn.UNIQUE(J:J)</f>
        <v>到職月份</v>
      </c>
      <c r="T1" s="126"/>
      <c r="U1" s="127" t="s">
        <v>5</v>
      </c>
      <c r="V1" s="125" t="s">
        <v>823</v>
      </c>
      <c r="X1" s="130" t="s">
        <v>822</v>
      </c>
      <c r="Y1" s="116" t="s">
        <v>623</v>
      </c>
      <c r="AB1" s="130" t="s">
        <v>822</v>
      </c>
      <c r="AC1" s="130" t="s">
        <v>822</v>
      </c>
      <c r="AE1" s="130" t="s">
        <v>822</v>
      </c>
      <c r="AF1" s="116" t="s">
        <v>623</v>
      </c>
      <c r="AG1" s="253" t="s">
        <v>842</v>
      </c>
    </row>
    <row r="2" spans="1:34" ht="46.3" x14ac:dyDescent="0.4">
      <c r="A2" s="177" t="str">
        <f>B2&amp;TEXT(ROW()-1,"000")</f>
        <v>A001</v>
      </c>
      <c r="B2" s="177" t="str">
        <f>VLOOKUP(C2,item!B:C,2,0)</f>
        <v>A</v>
      </c>
      <c r="C2" s="178" t="s">
        <v>632</v>
      </c>
      <c r="D2" s="179" t="s">
        <v>633</v>
      </c>
      <c r="E2" s="180" t="s">
        <v>634</v>
      </c>
      <c r="F2" s="181">
        <v>65001</v>
      </c>
      <c r="G2" s="182" t="s">
        <v>635</v>
      </c>
      <c r="H2" s="181">
        <v>220</v>
      </c>
      <c r="I2" s="183">
        <v>35796</v>
      </c>
      <c r="J2" s="184">
        <f>MONTH('Filter5-陣列-choose'!$I2)</f>
        <v>1</v>
      </c>
      <c r="K2" s="185"/>
      <c r="L2" s="186" t="s">
        <v>636</v>
      </c>
      <c r="O2" s="136" t="s">
        <v>632</v>
      </c>
      <c r="P2" s="126" t="s">
        <v>821</v>
      </c>
      <c r="Q2" s="260" t="str">
        <v>行政室</v>
      </c>
      <c r="R2" s="164">
        <f>MONTH(I:I)</f>
        <v>1</v>
      </c>
      <c r="S2" s="126">
        <v>1</v>
      </c>
      <c r="T2" s="126"/>
      <c r="U2" s="31"/>
      <c r="V2" s="23" t="b" cm="1">
        <f t="array" aca="1" ref="V2:V54" ca="1">MONTH(I2:I54)=MONTH(TODAY())</f>
        <v>0</v>
      </c>
      <c r="W2" s="31"/>
      <c r="X2" s="137">
        <v>2</v>
      </c>
      <c r="Y2" s="26" t="s">
        <v>632</v>
      </c>
      <c r="Z2" s="255" t="s">
        <v>844</v>
      </c>
      <c r="AB2" s="170">
        <v>1</v>
      </c>
      <c r="AC2" s="137">
        <v>1</v>
      </c>
      <c r="AD2" s="254" t="s">
        <v>841</v>
      </c>
      <c r="AE2" s="137"/>
      <c r="AF2" s="125" t="s">
        <v>658</v>
      </c>
      <c r="AG2" s="126" t="s">
        <v>843</v>
      </c>
    </row>
    <row r="3" spans="1:34" ht="25.75" customHeight="1" x14ac:dyDescent="0.4">
      <c r="A3" s="187" t="str">
        <f t="shared" ref="A3:A54" si="0">B3&amp;TEXT(ROW()-1,"000")</f>
        <v>A002</v>
      </c>
      <c r="B3" s="187" t="str">
        <f>VLOOKUP(C3,item!B:C,2,0)</f>
        <v>A</v>
      </c>
      <c r="C3" s="188" t="s">
        <v>632</v>
      </c>
      <c r="D3" s="189" t="s">
        <v>640</v>
      </c>
      <c r="E3" s="190" t="s">
        <v>641</v>
      </c>
      <c r="F3" s="189">
        <v>65050</v>
      </c>
      <c r="G3" s="191" t="s">
        <v>642</v>
      </c>
      <c r="H3" s="189">
        <v>216</v>
      </c>
      <c r="I3" s="192">
        <v>35827</v>
      </c>
      <c r="J3" s="193">
        <f>MONTH('Filter5-陣列-choose'!$I3)</f>
        <v>2</v>
      </c>
      <c r="K3" s="189"/>
      <c r="L3" s="194" t="s">
        <v>643</v>
      </c>
      <c r="Q3" s="23" t="str">
        <v>教學組</v>
      </c>
      <c r="S3" s="23">
        <v>2</v>
      </c>
      <c r="V3" s="23" t="b">
        <f ca="1"/>
        <v>0</v>
      </c>
    </row>
    <row r="4" spans="1:34" x14ac:dyDescent="0.4">
      <c r="A4" s="177" t="str">
        <f t="shared" si="0"/>
        <v>A003</v>
      </c>
      <c r="B4" s="177" t="str">
        <f>VLOOKUP(C4,item!B:C,2,0)</f>
        <v>A</v>
      </c>
      <c r="C4" s="178" t="s">
        <v>632</v>
      </c>
      <c r="D4" s="195" t="s">
        <v>644</v>
      </c>
      <c r="E4" s="196" t="s">
        <v>645</v>
      </c>
      <c r="F4" s="195">
        <v>65046</v>
      </c>
      <c r="G4" s="197" t="s">
        <v>646</v>
      </c>
      <c r="H4" s="198">
        <v>216</v>
      </c>
      <c r="I4" s="183">
        <v>35855</v>
      </c>
      <c r="J4" s="184">
        <f>MONTH('Filter5-陣列-choose'!$I4)</f>
        <v>3</v>
      </c>
      <c r="K4" s="198"/>
      <c r="L4" s="186" t="s">
        <v>647</v>
      </c>
      <c r="Q4" s="23" t="str">
        <v>作業組</v>
      </c>
      <c r="S4" s="23">
        <v>3</v>
      </c>
      <c r="V4" s="23" t="b">
        <f ca="1"/>
        <v>0</v>
      </c>
      <c r="X4" s="252" t="s">
        <v>847</v>
      </c>
    </row>
    <row r="5" spans="1:34" x14ac:dyDescent="0.4">
      <c r="A5" s="187" t="str">
        <f t="shared" si="0"/>
        <v>A004</v>
      </c>
      <c r="B5" s="187" t="str">
        <f>VLOOKUP(C5,item!B:C,2,0)</f>
        <v>A</v>
      </c>
      <c r="C5" s="188" t="s">
        <v>632</v>
      </c>
      <c r="D5" s="189" t="s">
        <v>648</v>
      </c>
      <c r="E5" s="199" t="s">
        <v>649</v>
      </c>
      <c r="F5" s="189">
        <v>65048</v>
      </c>
      <c r="G5" s="191" t="s">
        <v>650</v>
      </c>
      <c r="H5" s="189">
        <v>216</v>
      </c>
      <c r="I5" s="192">
        <v>35886</v>
      </c>
      <c r="J5" s="193">
        <f>MONTH('Filter5-陣列-choose'!$I5)</f>
        <v>4</v>
      </c>
      <c r="K5" s="189"/>
      <c r="L5" s="194" t="s">
        <v>651</v>
      </c>
      <c r="Q5" s="23" t="str">
        <v>網路組</v>
      </c>
      <c r="S5" s="23">
        <v>4</v>
      </c>
      <c r="V5" s="23" t="b">
        <f ca="1"/>
        <v>1</v>
      </c>
      <c r="X5" s="135" t="s">
        <v>846</v>
      </c>
    </row>
    <row r="6" spans="1:34" x14ac:dyDescent="0.4">
      <c r="A6" s="177" t="str">
        <f t="shared" si="0"/>
        <v>A005</v>
      </c>
      <c r="B6" s="177" t="str">
        <f>VLOOKUP(C6,item!B:C,2,0)</f>
        <v>A</v>
      </c>
      <c r="C6" s="178" t="s">
        <v>632</v>
      </c>
      <c r="D6" s="200" t="s">
        <v>652</v>
      </c>
      <c r="E6" s="196" t="s">
        <v>653</v>
      </c>
      <c r="F6" s="201">
        <v>65049</v>
      </c>
      <c r="G6" s="202" t="s">
        <v>654</v>
      </c>
      <c r="H6" s="201">
        <v>216</v>
      </c>
      <c r="I6" s="183">
        <v>35916</v>
      </c>
      <c r="J6" s="184">
        <f>MONTH('Filter5-陣列-choose'!$I6)</f>
        <v>5</v>
      </c>
      <c r="K6" s="201"/>
      <c r="L6" s="186" t="s">
        <v>655</v>
      </c>
      <c r="Q6" s="23" t="str">
        <v>程式組</v>
      </c>
      <c r="S6" s="23">
        <v>5</v>
      </c>
      <c r="V6" s="26" t="b">
        <f ca="1"/>
        <v>0</v>
      </c>
      <c r="X6" s="33" t="s">
        <v>275</v>
      </c>
      <c r="Y6" s="33" t="s">
        <v>827</v>
      </c>
      <c r="Z6" s="33" t="s">
        <v>623</v>
      </c>
      <c r="AA6" s="33" t="s">
        <v>624</v>
      </c>
      <c r="AB6" s="33" t="s">
        <v>625</v>
      </c>
      <c r="AC6" s="33" t="s">
        <v>828</v>
      </c>
      <c r="AD6" s="33" t="s">
        <v>829</v>
      </c>
      <c r="AE6" s="33" t="s">
        <v>830</v>
      </c>
      <c r="AF6" s="33" t="s">
        <v>831</v>
      </c>
      <c r="AG6" s="33" t="s">
        <v>832</v>
      </c>
      <c r="AH6" s="33" t="s">
        <v>434</v>
      </c>
    </row>
    <row r="7" spans="1:34" x14ac:dyDescent="0.4">
      <c r="A7" s="187" t="str">
        <f t="shared" si="0"/>
        <v>B006</v>
      </c>
      <c r="B7" s="187" t="str">
        <f>VLOOKUP(C7,item!B:C,2,0)</f>
        <v>B</v>
      </c>
      <c r="C7" s="188" t="s">
        <v>658</v>
      </c>
      <c r="D7" s="189" t="s">
        <v>659</v>
      </c>
      <c r="E7" s="199" t="s">
        <v>660</v>
      </c>
      <c r="F7" s="203">
        <v>65005</v>
      </c>
      <c r="G7" s="204" t="s">
        <v>661</v>
      </c>
      <c r="H7" s="203">
        <v>209</v>
      </c>
      <c r="I7" s="192">
        <v>35947</v>
      </c>
      <c r="J7" s="193">
        <f>MONTH('Filter5-陣列-choose'!$I7)</f>
        <v>6</v>
      </c>
      <c r="K7" s="203"/>
      <c r="L7" s="194" t="s">
        <v>662</v>
      </c>
      <c r="Q7" s="23">
        <v>0</v>
      </c>
      <c r="S7" s="23">
        <v>6</v>
      </c>
      <c r="V7" s="23" t="b">
        <f ca="1"/>
        <v>0</v>
      </c>
      <c r="X7" s="23" t="str" cm="1">
        <f t="array" ref="X7:AH7">_xlfn._xlws.FILTER(staff,MONTH(到職日期)=X2*(C2:C54=Y2),"本月無資料")</f>
        <v>A002</v>
      </c>
      <c r="Y7" s="23" t="str">
        <v>A</v>
      </c>
      <c r="Z7" s="23" t="str">
        <v>行政室</v>
      </c>
      <c r="AA7" s="23" t="str">
        <v>陳雅君</v>
      </c>
      <c r="AB7" s="23" t="str">
        <v>幹事</v>
      </c>
      <c r="AC7" s="23">
        <v>65050</v>
      </c>
      <c r="AD7" s="23" t="str">
        <v>yachun2240@ntu.edu.tw</v>
      </c>
      <c r="AE7" s="23">
        <v>216</v>
      </c>
      <c r="AF7" s="128">
        <v>35827</v>
      </c>
      <c r="AG7" s="23">
        <v>0</v>
      </c>
      <c r="AH7" s="23" t="str">
        <v>02</v>
      </c>
    </row>
    <row r="8" spans="1:34" x14ac:dyDescent="0.4">
      <c r="A8" s="177" t="str">
        <f t="shared" si="0"/>
        <v>B007</v>
      </c>
      <c r="B8" s="177" t="str">
        <f>VLOOKUP(C8,item!B:C,2,0)</f>
        <v>B</v>
      </c>
      <c r="C8" s="178" t="s">
        <v>658</v>
      </c>
      <c r="D8" s="179" t="s">
        <v>663</v>
      </c>
      <c r="E8" s="205" t="s">
        <v>664</v>
      </c>
      <c r="F8" s="179">
        <v>65047</v>
      </c>
      <c r="G8" s="206" t="s">
        <v>665</v>
      </c>
      <c r="H8" s="181">
        <v>216</v>
      </c>
      <c r="I8" s="183">
        <v>35977</v>
      </c>
      <c r="J8" s="184">
        <f>MONTH('Filter5-陣列-choose'!$I8)</f>
        <v>7</v>
      </c>
      <c r="K8" s="181"/>
      <c r="L8" s="186" t="s">
        <v>666</v>
      </c>
      <c r="S8" s="23">
        <v>7</v>
      </c>
      <c r="V8" s="23" t="b">
        <f ca="1"/>
        <v>0</v>
      </c>
      <c r="AF8" s="128"/>
    </row>
    <row r="9" spans="1:34" x14ac:dyDescent="0.4">
      <c r="A9" s="187" t="str">
        <f t="shared" si="0"/>
        <v>B008</v>
      </c>
      <c r="B9" s="187" t="str">
        <f>VLOOKUP(C9,item!B:C,2,0)</f>
        <v>B</v>
      </c>
      <c r="C9" s="188" t="s">
        <v>658</v>
      </c>
      <c r="D9" s="189" t="s">
        <v>667</v>
      </c>
      <c r="E9" s="199" t="s">
        <v>641</v>
      </c>
      <c r="F9" s="189">
        <v>65031</v>
      </c>
      <c r="G9" s="191" t="s">
        <v>668</v>
      </c>
      <c r="H9" s="189">
        <v>318</v>
      </c>
      <c r="I9" s="192">
        <v>36008</v>
      </c>
      <c r="J9" s="193">
        <f>MONTH('Filter5-陣列-choose'!$I9)</f>
        <v>8</v>
      </c>
      <c r="K9" s="189"/>
      <c r="L9" s="194" t="s">
        <v>669</v>
      </c>
      <c r="S9" s="23">
        <v>8</v>
      </c>
      <c r="V9" s="23" t="b">
        <f ca="1"/>
        <v>0</v>
      </c>
      <c r="AF9" s="128"/>
    </row>
    <row r="10" spans="1:34" x14ac:dyDescent="0.4">
      <c r="A10" s="177" t="str">
        <f t="shared" si="0"/>
        <v>B009</v>
      </c>
      <c r="B10" s="177" t="str">
        <f>VLOOKUP(C10,item!B:C,2,0)</f>
        <v>B</v>
      </c>
      <c r="C10" s="178" t="s">
        <v>658</v>
      </c>
      <c r="D10" s="198" t="s">
        <v>670</v>
      </c>
      <c r="E10" s="196" t="s">
        <v>641</v>
      </c>
      <c r="F10" s="198">
        <v>55448</v>
      </c>
      <c r="G10" s="197" t="s">
        <v>671</v>
      </c>
      <c r="H10" s="198">
        <v>318</v>
      </c>
      <c r="I10" s="183">
        <v>36039</v>
      </c>
      <c r="J10" s="184">
        <f>MONTH('Filter5-陣列-choose'!$I10)</f>
        <v>9</v>
      </c>
      <c r="K10" s="207"/>
      <c r="L10" s="186" t="s">
        <v>672</v>
      </c>
      <c r="S10" s="23">
        <v>9</v>
      </c>
      <c r="V10" s="23" t="b">
        <f ca="1"/>
        <v>0</v>
      </c>
    </row>
    <row r="11" spans="1:34" ht="45" x14ac:dyDescent="0.4">
      <c r="A11" s="187" t="str">
        <f t="shared" si="0"/>
        <v>C010</v>
      </c>
      <c r="B11" s="187" t="str">
        <f>VLOOKUP(C11,item!B:C,2,0)</f>
        <v>C</v>
      </c>
      <c r="C11" s="188" t="s">
        <v>673</v>
      </c>
      <c r="D11" s="208" t="s">
        <v>674</v>
      </c>
      <c r="E11" s="209" t="s">
        <v>660</v>
      </c>
      <c r="F11" s="210">
        <v>65004</v>
      </c>
      <c r="G11" s="211" t="s">
        <v>675</v>
      </c>
      <c r="H11" s="210">
        <v>213</v>
      </c>
      <c r="I11" s="192">
        <v>36069</v>
      </c>
      <c r="J11" s="193">
        <f>MONTH('Filter5-陣列-choose'!$I11)</f>
        <v>10</v>
      </c>
      <c r="K11" s="210"/>
      <c r="L11" s="194" t="s">
        <v>676</v>
      </c>
      <c r="S11" s="23">
        <v>10</v>
      </c>
      <c r="V11" s="23" t="b">
        <f ca="1"/>
        <v>0</v>
      </c>
    </row>
    <row r="12" spans="1:34" x14ac:dyDescent="0.4">
      <c r="A12" s="177" t="str">
        <f t="shared" si="0"/>
        <v>C011</v>
      </c>
      <c r="B12" s="177" t="str">
        <f>VLOOKUP(C12,item!B:C,2,0)</f>
        <v>C</v>
      </c>
      <c r="C12" s="178" t="s">
        <v>673</v>
      </c>
      <c r="D12" s="198" t="s">
        <v>677</v>
      </c>
      <c r="E12" s="212" t="s">
        <v>839</v>
      </c>
      <c r="F12" s="198">
        <v>65026</v>
      </c>
      <c r="G12" s="197" t="s">
        <v>678</v>
      </c>
      <c r="H12" s="198">
        <v>403</v>
      </c>
      <c r="I12" s="183">
        <v>36100</v>
      </c>
      <c r="J12" s="184">
        <f>MONTH('Filter5-陣列-choose'!$I12)</f>
        <v>11</v>
      </c>
      <c r="K12" s="198"/>
      <c r="L12" s="186" t="s">
        <v>679</v>
      </c>
      <c r="S12" s="23">
        <v>11</v>
      </c>
      <c r="V12" s="23" t="b">
        <f ca="1"/>
        <v>0</v>
      </c>
    </row>
    <row r="13" spans="1:34" x14ac:dyDescent="0.4">
      <c r="A13" s="187" t="str">
        <f t="shared" si="0"/>
        <v>C012</v>
      </c>
      <c r="B13" s="187" t="str">
        <f>VLOOKUP(C13,item!B:C,2,0)</f>
        <v>C</v>
      </c>
      <c r="C13" s="188" t="s">
        <v>673</v>
      </c>
      <c r="D13" s="189" t="s">
        <v>680</v>
      </c>
      <c r="E13" s="213" t="s">
        <v>839</v>
      </c>
      <c r="F13" s="189">
        <v>65034</v>
      </c>
      <c r="G13" s="191" t="s">
        <v>681</v>
      </c>
      <c r="H13" s="189">
        <v>301</v>
      </c>
      <c r="I13" s="192">
        <v>36130</v>
      </c>
      <c r="J13" s="193">
        <f>MONTH('Filter5-陣列-choose'!$I13)</f>
        <v>12</v>
      </c>
      <c r="K13" s="189"/>
      <c r="L13" s="194" t="s">
        <v>682</v>
      </c>
      <c r="S13" s="23">
        <v>12</v>
      </c>
      <c r="V13" s="23" t="b">
        <f ca="1"/>
        <v>0</v>
      </c>
      <c r="X13" s="116" t="s">
        <v>623</v>
      </c>
      <c r="Y13" s="136" t="str">
        <f>Y2</f>
        <v>行政室</v>
      </c>
    </row>
    <row r="14" spans="1:34" x14ac:dyDescent="0.4">
      <c r="A14" s="177" t="str">
        <f t="shared" si="0"/>
        <v>C013</v>
      </c>
      <c r="B14" s="177" t="str">
        <f>VLOOKUP(C14,item!B:C,2,0)</f>
        <v>C</v>
      </c>
      <c r="C14" s="178" t="s">
        <v>673</v>
      </c>
      <c r="D14" s="214" t="s">
        <v>683</v>
      </c>
      <c r="E14" s="212" t="s">
        <v>641</v>
      </c>
      <c r="F14" s="195">
        <v>65059</v>
      </c>
      <c r="G14" s="197" t="s">
        <v>684</v>
      </c>
      <c r="H14" s="198">
        <v>109</v>
      </c>
      <c r="I14" s="183">
        <v>36161</v>
      </c>
      <c r="J14" s="184">
        <f>MONTH('Filter5-陣列-choose'!$I14)</f>
        <v>1</v>
      </c>
      <c r="K14" s="215"/>
      <c r="L14" s="186" t="s">
        <v>685</v>
      </c>
      <c r="S14" s="23">
        <v>0</v>
      </c>
      <c r="V14" s="23" t="b">
        <f ca="1"/>
        <v>0</v>
      </c>
      <c r="X14" s="135" t="s">
        <v>845</v>
      </c>
    </row>
    <row r="15" spans="1:34" ht="16.75" x14ac:dyDescent="0.45">
      <c r="A15" s="187" t="str">
        <f t="shared" si="0"/>
        <v>C014</v>
      </c>
      <c r="B15" s="187" t="str">
        <f>VLOOKUP(C15,item!B:C,2,0)</f>
        <v>C</v>
      </c>
      <c r="C15" s="188" t="s">
        <v>673</v>
      </c>
      <c r="D15" s="189" t="s">
        <v>686</v>
      </c>
      <c r="E15" s="199" t="s">
        <v>641</v>
      </c>
      <c r="F15" s="189">
        <v>65016</v>
      </c>
      <c r="G15" s="216" t="s">
        <v>687</v>
      </c>
      <c r="H15" s="189">
        <v>109</v>
      </c>
      <c r="I15" s="192">
        <v>36192</v>
      </c>
      <c r="J15" s="193">
        <f>MONTH('Filter5-陣列-choose'!$I15)</f>
        <v>2</v>
      </c>
      <c r="K15" s="189"/>
      <c r="L15" s="194" t="s">
        <v>688</v>
      </c>
      <c r="V15" s="23" t="b">
        <f ca="1"/>
        <v>0</v>
      </c>
      <c r="X15" s="33" t="s">
        <v>275</v>
      </c>
      <c r="Y15" s="33" t="s">
        <v>827</v>
      </c>
      <c r="Z15" s="33" t="s">
        <v>623</v>
      </c>
      <c r="AA15" s="33" t="s">
        <v>624</v>
      </c>
      <c r="AB15" s="33" t="s">
        <v>625</v>
      </c>
      <c r="AC15" s="33" t="s">
        <v>828</v>
      </c>
      <c r="AD15" s="33" t="s">
        <v>829</v>
      </c>
      <c r="AE15" s="33" t="s">
        <v>830</v>
      </c>
      <c r="AF15" s="33" t="s">
        <v>831</v>
      </c>
      <c r="AG15" s="33" t="s">
        <v>832</v>
      </c>
      <c r="AH15" s="33" t="s">
        <v>434</v>
      </c>
    </row>
    <row r="16" spans="1:34" x14ac:dyDescent="0.4">
      <c r="A16" s="177" t="str">
        <f t="shared" si="0"/>
        <v>C015</v>
      </c>
      <c r="B16" s="177" t="str">
        <f>VLOOKUP(C16,item!B:C,2,0)</f>
        <v>C</v>
      </c>
      <c r="C16" s="178" t="s">
        <v>673</v>
      </c>
      <c r="D16" s="195" t="s">
        <v>689</v>
      </c>
      <c r="E16" s="196" t="s">
        <v>641</v>
      </c>
      <c r="F16" s="217">
        <v>65519</v>
      </c>
      <c r="G16" s="197" t="s">
        <v>690</v>
      </c>
      <c r="H16" s="198">
        <v>315</v>
      </c>
      <c r="I16" s="183">
        <v>36220</v>
      </c>
      <c r="J16" s="184">
        <f>MONTH('Filter5-陣列-choose'!$I16)</f>
        <v>3</v>
      </c>
      <c r="K16" s="198"/>
      <c r="L16" s="186" t="s">
        <v>691</v>
      </c>
      <c r="V16" s="23" t="b">
        <f ca="1"/>
        <v>0</v>
      </c>
      <c r="X16" s="23" t="str" cm="1">
        <f t="array" ref="X16:AH20">_xlfn._xlws.FILTER(staff,C2:C54=Y2,"本月無資料")</f>
        <v>A001</v>
      </c>
      <c r="Y16" s="23" t="str">
        <v>A</v>
      </c>
      <c r="Z16" s="23" t="str">
        <v>行政室</v>
      </c>
      <c r="AA16" s="23" t="str">
        <v>顏嗣鈞</v>
      </c>
      <c r="AB16" s="23" t="str">
        <v>主任</v>
      </c>
      <c r="AC16" s="23">
        <v>65001</v>
      </c>
      <c r="AD16" s="23" t="str">
        <v>hcyen@ntu.edu.tw</v>
      </c>
      <c r="AE16" s="23">
        <v>220</v>
      </c>
      <c r="AF16" s="23">
        <v>35796</v>
      </c>
      <c r="AG16" s="23">
        <v>0</v>
      </c>
      <c r="AH16" s="23" t="str">
        <v>01</v>
      </c>
    </row>
    <row r="17" spans="1:34" x14ac:dyDescent="0.4">
      <c r="A17" s="187" t="str">
        <f t="shared" si="0"/>
        <v>C016</v>
      </c>
      <c r="B17" s="187" t="str">
        <f>VLOOKUP(C17,item!B:C,2,0)</f>
        <v>C</v>
      </c>
      <c r="C17" s="188" t="s">
        <v>673</v>
      </c>
      <c r="D17" s="189" t="s">
        <v>692</v>
      </c>
      <c r="E17" s="199" t="s">
        <v>641</v>
      </c>
      <c r="F17" s="218">
        <v>69869</v>
      </c>
      <c r="G17" s="191" t="s">
        <v>693</v>
      </c>
      <c r="H17" s="189">
        <v>316</v>
      </c>
      <c r="I17" s="192">
        <v>36251</v>
      </c>
      <c r="J17" s="193">
        <f>MONTH('Filter5-陣列-choose'!$I17)</f>
        <v>4</v>
      </c>
      <c r="K17" s="189"/>
      <c r="L17" s="194" t="s">
        <v>694</v>
      </c>
      <c r="V17" s="23" t="b">
        <f ca="1"/>
        <v>1</v>
      </c>
      <c r="X17" s="23" t="str">
        <v>A002</v>
      </c>
      <c r="Y17" s="23" t="str">
        <v>A</v>
      </c>
      <c r="Z17" s="23" t="str">
        <v>行政室</v>
      </c>
      <c r="AA17" s="23" t="str">
        <v>陳雅君</v>
      </c>
      <c r="AB17" s="23" t="str">
        <v>幹事</v>
      </c>
      <c r="AC17" s="23">
        <v>65050</v>
      </c>
      <c r="AD17" s="23" t="str">
        <v>yachun2240@ntu.edu.tw</v>
      </c>
      <c r="AE17" s="23">
        <v>216</v>
      </c>
      <c r="AF17" s="23">
        <v>35827</v>
      </c>
      <c r="AG17" s="23">
        <v>0</v>
      </c>
      <c r="AH17" s="23" t="str">
        <v>02</v>
      </c>
    </row>
    <row r="18" spans="1:34" x14ac:dyDescent="0.4">
      <c r="A18" s="177" t="str">
        <f t="shared" si="0"/>
        <v>C017</v>
      </c>
      <c r="B18" s="177" t="str">
        <f>VLOOKUP(C18,item!B:C,2,0)</f>
        <v>C</v>
      </c>
      <c r="C18" s="178" t="s">
        <v>673</v>
      </c>
      <c r="D18" s="214" t="s">
        <v>695</v>
      </c>
      <c r="E18" s="219" t="s">
        <v>641</v>
      </c>
      <c r="F18" s="217">
        <v>65522</v>
      </c>
      <c r="G18" s="220" t="s">
        <v>696</v>
      </c>
      <c r="H18" s="214">
        <v>316</v>
      </c>
      <c r="I18" s="183">
        <v>36281</v>
      </c>
      <c r="J18" s="184">
        <f>MONTH('Filter5-陣列-choose'!$I18)</f>
        <v>5</v>
      </c>
      <c r="K18" s="215"/>
      <c r="L18" s="186" t="s">
        <v>697</v>
      </c>
      <c r="V18" s="23" t="b">
        <f ca="1"/>
        <v>0</v>
      </c>
      <c r="X18" s="23" t="str">
        <v>A003</v>
      </c>
      <c r="Y18" s="23" t="str">
        <v>A</v>
      </c>
      <c r="Z18" s="23" t="str">
        <v>行政室</v>
      </c>
      <c r="AA18" s="23" t="str">
        <v>陳郁文</v>
      </c>
      <c r="AB18" s="23" t="str">
        <v>編審</v>
      </c>
      <c r="AC18" s="23">
        <v>65046</v>
      </c>
      <c r="AD18" s="23" t="str">
        <v>ywc73@ntu.edu.tw</v>
      </c>
      <c r="AE18" s="23">
        <v>216</v>
      </c>
      <c r="AF18" s="23">
        <v>35855</v>
      </c>
      <c r="AG18" s="23">
        <v>0</v>
      </c>
      <c r="AH18" s="23" t="str">
        <v>03</v>
      </c>
    </row>
    <row r="19" spans="1:34" x14ac:dyDescent="0.4">
      <c r="A19" s="187" t="str">
        <f t="shared" si="0"/>
        <v>C018</v>
      </c>
      <c r="B19" s="187" t="str">
        <f>VLOOKUP(C19,item!B:C,2,0)</f>
        <v>C</v>
      </c>
      <c r="C19" s="188" t="s">
        <v>673</v>
      </c>
      <c r="D19" s="189" t="s">
        <v>698</v>
      </c>
      <c r="E19" s="199" t="s">
        <v>641</v>
      </c>
      <c r="F19" s="203">
        <v>65512</v>
      </c>
      <c r="G19" s="221" t="s">
        <v>699</v>
      </c>
      <c r="H19" s="189">
        <v>316</v>
      </c>
      <c r="I19" s="192">
        <v>36312</v>
      </c>
      <c r="J19" s="193">
        <f>MONTH('Filter5-陣列-choose'!$I19)</f>
        <v>6</v>
      </c>
      <c r="K19" s="189"/>
      <c r="L19" s="194" t="s">
        <v>700</v>
      </c>
      <c r="V19" s="23" t="b">
        <f ca="1"/>
        <v>0</v>
      </c>
      <c r="X19" s="23" t="str">
        <v>A004</v>
      </c>
      <c r="Y19" s="23" t="str">
        <v>A</v>
      </c>
      <c r="Z19" s="23" t="str">
        <v>行政室</v>
      </c>
      <c r="AA19" s="23" t="str">
        <v>陳玟諭</v>
      </c>
      <c r="AB19" s="23" t="str">
        <v>副理</v>
      </c>
      <c r="AC19" s="23">
        <v>65048</v>
      </c>
      <c r="AD19" s="23" t="str">
        <v>wenyuchen@ntu.edu.tw</v>
      </c>
      <c r="AE19" s="23">
        <v>216</v>
      </c>
      <c r="AF19" s="23">
        <v>35886</v>
      </c>
      <c r="AG19" s="23">
        <v>0</v>
      </c>
      <c r="AH19" s="23" t="str">
        <v>04</v>
      </c>
    </row>
    <row r="20" spans="1:34" x14ac:dyDescent="0.4">
      <c r="A20" s="177" t="str">
        <f t="shared" si="0"/>
        <v>C019</v>
      </c>
      <c r="B20" s="177" t="str">
        <f>VLOOKUP(C20,item!B:C,2,0)</f>
        <v>C</v>
      </c>
      <c r="C20" s="178" t="s">
        <v>673</v>
      </c>
      <c r="D20" s="222" t="s">
        <v>701</v>
      </c>
      <c r="E20" s="219" t="s">
        <v>641</v>
      </c>
      <c r="F20" s="217">
        <v>65510</v>
      </c>
      <c r="G20" s="223" t="s">
        <v>702</v>
      </c>
      <c r="H20" s="217">
        <v>316</v>
      </c>
      <c r="I20" s="183">
        <v>36342</v>
      </c>
      <c r="J20" s="184">
        <f>MONTH('Filter5-陣列-choose'!$I20)</f>
        <v>7</v>
      </c>
      <c r="K20" s="215"/>
      <c r="L20" s="186" t="s">
        <v>703</v>
      </c>
      <c r="V20" s="23" t="b">
        <f ca="1"/>
        <v>0</v>
      </c>
      <c r="X20" s="23" t="str">
        <v>A005</v>
      </c>
      <c r="Y20" s="23" t="str">
        <v>A</v>
      </c>
      <c r="Z20" s="23" t="str">
        <v>行政室</v>
      </c>
      <c r="AA20" s="23" t="str">
        <v>石馥瑄</v>
      </c>
      <c r="AB20" s="23" t="str">
        <v>全職工讀生</v>
      </c>
      <c r="AC20" s="23">
        <v>65049</v>
      </c>
      <c r="AD20" s="23" t="str">
        <v>sfx0320@ntu.edu.tw</v>
      </c>
      <c r="AE20" s="23">
        <v>216</v>
      </c>
      <c r="AF20" s="23">
        <v>35916</v>
      </c>
      <c r="AG20" s="23">
        <v>0</v>
      </c>
      <c r="AH20" s="23" t="str">
        <v>05</v>
      </c>
    </row>
    <row r="21" spans="1:34" x14ac:dyDescent="0.4">
      <c r="A21" s="187" t="str">
        <f t="shared" si="0"/>
        <v>C020</v>
      </c>
      <c r="B21" s="187" t="str">
        <f>VLOOKUP(C21,item!B:C,2,0)</f>
        <v>C</v>
      </c>
      <c r="C21" s="188" t="s">
        <v>673</v>
      </c>
      <c r="D21" s="189" t="s">
        <v>704</v>
      </c>
      <c r="E21" s="199" t="s">
        <v>653</v>
      </c>
      <c r="F21" s="189">
        <v>65022</v>
      </c>
      <c r="G21" s="191" t="s">
        <v>705</v>
      </c>
      <c r="H21" s="189">
        <v>109</v>
      </c>
      <c r="I21" s="192">
        <v>36373</v>
      </c>
      <c r="J21" s="193">
        <f>MONTH('Filter5-陣列-choose'!$I21)</f>
        <v>8</v>
      </c>
      <c r="K21" s="189"/>
      <c r="L21" s="194" t="s">
        <v>706</v>
      </c>
      <c r="V21" s="23" t="b">
        <f ca="1"/>
        <v>0</v>
      </c>
    </row>
    <row r="22" spans="1:34" x14ac:dyDescent="0.4">
      <c r="A22" s="177" t="str">
        <f t="shared" si="0"/>
        <v>D021</v>
      </c>
      <c r="B22" s="177" t="str">
        <f>VLOOKUP(C22,item!B:C,2,0)</f>
        <v>D</v>
      </c>
      <c r="C22" s="178" t="s">
        <v>707</v>
      </c>
      <c r="D22" s="179" t="s">
        <v>708</v>
      </c>
      <c r="E22" s="180" t="s">
        <v>660</v>
      </c>
      <c r="F22" s="179">
        <v>65002</v>
      </c>
      <c r="G22" s="223" t="s">
        <v>709</v>
      </c>
      <c r="H22" s="179">
        <v>217</v>
      </c>
      <c r="I22" s="183">
        <v>36404</v>
      </c>
      <c r="J22" s="184">
        <f>MONTH('Filter5-陣列-choose'!$I22)</f>
        <v>9</v>
      </c>
      <c r="K22" s="179"/>
      <c r="L22" s="186" t="s">
        <v>710</v>
      </c>
      <c r="V22" s="23" t="b">
        <f ca="1"/>
        <v>0</v>
      </c>
    </row>
    <row r="23" spans="1:34" ht="16.75" x14ac:dyDescent="0.45">
      <c r="A23" s="187" t="str">
        <f t="shared" si="0"/>
        <v>D022</v>
      </c>
      <c r="B23" s="187" t="str">
        <f>VLOOKUP(C23,item!B:C,2,0)</f>
        <v>D</v>
      </c>
      <c r="C23" s="188" t="s">
        <v>707</v>
      </c>
      <c r="D23" s="189" t="s">
        <v>711</v>
      </c>
      <c r="E23" s="199" t="s">
        <v>712</v>
      </c>
      <c r="F23" s="189">
        <v>65006</v>
      </c>
      <c r="G23" s="191" t="s">
        <v>713</v>
      </c>
      <c r="H23" s="189">
        <v>411</v>
      </c>
      <c r="I23" s="192">
        <v>36434</v>
      </c>
      <c r="J23" s="193">
        <f>MONTH('Filter5-陣列-choose'!$I23)</f>
        <v>10</v>
      </c>
      <c r="K23" s="189"/>
      <c r="L23" s="194" t="s">
        <v>714</v>
      </c>
      <c r="V23" s="23" t="b">
        <f ca="1"/>
        <v>0</v>
      </c>
      <c r="X23" s="283" t="s">
        <v>898</v>
      </c>
    </row>
    <row r="24" spans="1:34" x14ac:dyDescent="0.4">
      <c r="A24" s="177" t="str">
        <f t="shared" si="0"/>
        <v>D023</v>
      </c>
      <c r="B24" s="177" t="str">
        <f>VLOOKUP(C24,item!B:C,2,0)</f>
        <v>D</v>
      </c>
      <c r="C24" s="178" t="s">
        <v>707</v>
      </c>
      <c r="D24" s="198" t="s">
        <v>715</v>
      </c>
      <c r="E24" s="196" t="s">
        <v>712</v>
      </c>
      <c r="F24" s="198">
        <v>65010</v>
      </c>
      <c r="G24" s="197" t="s">
        <v>716</v>
      </c>
      <c r="H24" s="198">
        <v>411</v>
      </c>
      <c r="I24" s="183">
        <v>36465</v>
      </c>
      <c r="J24" s="184">
        <f>MONTH('Filter5-陣列-choose'!$I24)</f>
        <v>11</v>
      </c>
      <c r="K24" s="198"/>
      <c r="L24" s="186" t="s">
        <v>717</v>
      </c>
      <c r="V24" s="23" t="b">
        <f ca="1"/>
        <v>0</v>
      </c>
    </row>
    <row r="25" spans="1:34" ht="16.75" x14ac:dyDescent="0.45">
      <c r="A25" s="187" t="str">
        <f t="shared" si="0"/>
        <v>D024</v>
      </c>
      <c r="B25" s="187" t="str">
        <f>VLOOKUP(C25,item!B:C,2,0)</f>
        <v>D</v>
      </c>
      <c r="C25" s="188" t="s">
        <v>707</v>
      </c>
      <c r="D25" s="224" t="s">
        <v>718</v>
      </c>
      <c r="E25" s="225" t="s">
        <v>719</v>
      </c>
      <c r="F25" s="226">
        <v>65011</v>
      </c>
      <c r="G25" s="227" t="s">
        <v>720</v>
      </c>
      <c r="H25" s="226">
        <v>411</v>
      </c>
      <c r="I25" s="192">
        <v>36495</v>
      </c>
      <c r="J25" s="193">
        <f>MONTH('Filter5-陣列-choose'!$I25)</f>
        <v>12</v>
      </c>
      <c r="K25" s="189"/>
      <c r="L25" s="194" t="s">
        <v>721</v>
      </c>
      <c r="V25" s="23" t="b">
        <f ca="1"/>
        <v>0</v>
      </c>
      <c r="X25" s="130" t="s">
        <v>822</v>
      </c>
      <c r="Y25" s="259">
        <f>X2</f>
        <v>2</v>
      </c>
    </row>
    <row r="26" spans="1:34" x14ac:dyDescent="0.4">
      <c r="A26" s="177" t="str">
        <f t="shared" si="0"/>
        <v>D025</v>
      </c>
      <c r="B26" s="177" t="str">
        <f>VLOOKUP(C26,item!B:C,2,0)</f>
        <v>D</v>
      </c>
      <c r="C26" s="178" t="s">
        <v>707</v>
      </c>
      <c r="D26" s="198" t="s">
        <v>722</v>
      </c>
      <c r="E26" s="196" t="s">
        <v>649</v>
      </c>
      <c r="F26" s="214">
        <v>65008</v>
      </c>
      <c r="G26" s="228" t="s">
        <v>723</v>
      </c>
      <c r="H26" s="214">
        <v>411</v>
      </c>
      <c r="I26" s="183">
        <v>36526</v>
      </c>
      <c r="J26" s="184">
        <f>MONTH('Filter5-陣列-choose'!$I26)</f>
        <v>1</v>
      </c>
      <c r="K26" s="229"/>
      <c r="L26" s="186" t="s">
        <v>724</v>
      </c>
      <c r="V26" s="23" t="b">
        <f ca="1"/>
        <v>0</v>
      </c>
      <c r="X26" s="135" t="s">
        <v>848</v>
      </c>
    </row>
    <row r="27" spans="1:34" ht="16.75" x14ac:dyDescent="0.45">
      <c r="A27" s="187" t="str">
        <f t="shared" si="0"/>
        <v>D026</v>
      </c>
      <c r="B27" s="187" t="str">
        <f>VLOOKUP(C27,item!B:C,2,0)</f>
        <v>D</v>
      </c>
      <c r="C27" s="188" t="s">
        <v>707</v>
      </c>
      <c r="D27" s="230" t="s">
        <v>725</v>
      </c>
      <c r="E27" s="231" t="s">
        <v>641</v>
      </c>
      <c r="F27" s="189">
        <v>65012</v>
      </c>
      <c r="G27" s="232" t="s">
        <v>726</v>
      </c>
      <c r="H27" s="189">
        <v>411</v>
      </c>
      <c r="I27" s="192">
        <v>36557</v>
      </c>
      <c r="J27" s="193">
        <f>MONTH('Filter5-陣列-choose'!$I27)</f>
        <v>2</v>
      </c>
      <c r="K27" s="189"/>
      <c r="L27" s="194" t="s">
        <v>727</v>
      </c>
      <c r="V27" s="23" t="b">
        <f ca="1"/>
        <v>0</v>
      </c>
      <c r="X27" s="252">
        <v>1</v>
      </c>
      <c r="Y27" s="252">
        <v>2</v>
      </c>
      <c r="Z27" s="252">
        <v>3</v>
      </c>
      <c r="AA27" s="252">
        <v>4</v>
      </c>
      <c r="AB27" s="252">
        <v>5</v>
      </c>
      <c r="AC27" s="252">
        <v>6</v>
      </c>
      <c r="AD27" s="252">
        <v>7</v>
      </c>
      <c r="AE27" s="252">
        <v>8</v>
      </c>
      <c r="AF27" s="252">
        <v>9</v>
      </c>
      <c r="AG27" s="252">
        <v>10</v>
      </c>
      <c r="AH27" s="252">
        <v>11</v>
      </c>
    </row>
    <row r="28" spans="1:34" ht="16.75" x14ac:dyDescent="0.45">
      <c r="A28" s="177" t="str">
        <f t="shared" si="0"/>
        <v>D027</v>
      </c>
      <c r="B28" s="177" t="str">
        <f>VLOOKUP(C28,item!B:C,2,0)</f>
        <v>D</v>
      </c>
      <c r="C28" s="178" t="s">
        <v>707</v>
      </c>
      <c r="D28" s="198" t="s">
        <v>728</v>
      </c>
      <c r="E28" s="196" t="s">
        <v>729</v>
      </c>
      <c r="F28" s="198">
        <v>65009</v>
      </c>
      <c r="G28" s="233" t="s">
        <v>730</v>
      </c>
      <c r="H28" s="198">
        <v>411</v>
      </c>
      <c r="I28" s="183">
        <v>36586</v>
      </c>
      <c r="J28" s="184">
        <f>MONTH('Filter5-陣列-choose'!$I28)</f>
        <v>3</v>
      </c>
      <c r="K28" s="198"/>
      <c r="L28" s="186" t="s">
        <v>731</v>
      </c>
      <c r="V28" s="23" t="b">
        <f ca="1"/>
        <v>0</v>
      </c>
      <c r="X28" s="33" t="s">
        <v>275</v>
      </c>
      <c r="Y28" s="33" t="s">
        <v>827</v>
      </c>
      <c r="Z28" s="33" t="s">
        <v>623</v>
      </c>
      <c r="AA28" s="33" t="s">
        <v>624</v>
      </c>
      <c r="AB28" s="33" t="s">
        <v>625</v>
      </c>
      <c r="AC28" s="33" t="s">
        <v>828</v>
      </c>
      <c r="AD28" s="33" t="s">
        <v>829</v>
      </c>
      <c r="AE28" s="33" t="s">
        <v>830</v>
      </c>
      <c r="AF28" s="33" t="s">
        <v>831</v>
      </c>
      <c r="AG28" s="33" t="s">
        <v>832</v>
      </c>
      <c r="AH28" s="33" t="s">
        <v>434</v>
      </c>
    </row>
    <row r="29" spans="1:34" ht="16.75" x14ac:dyDescent="0.45">
      <c r="A29" s="187" t="str">
        <f t="shared" si="0"/>
        <v>D028</v>
      </c>
      <c r="B29" s="187" t="str">
        <f>VLOOKUP(C29,item!B:C,2,0)</f>
        <v>D</v>
      </c>
      <c r="C29" s="188" t="s">
        <v>707</v>
      </c>
      <c r="D29" s="189" t="s">
        <v>732</v>
      </c>
      <c r="E29" s="199" t="s">
        <v>729</v>
      </c>
      <c r="F29" s="189">
        <v>65513</v>
      </c>
      <c r="G29" s="232" t="s">
        <v>733</v>
      </c>
      <c r="H29" s="189">
        <v>411</v>
      </c>
      <c r="I29" s="192">
        <v>36617</v>
      </c>
      <c r="J29" s="193">
        <f>MONTH('Filter5-陣列-choose'!$I29)</f>
        <v>4</v>
      </c>
      <c r="K29" s="189"/>
      <c r="L29" s="194" t="s">
        <v>734</v>
      </c>
      <c r="V29" s="23" t="b">
        <f ca="1"/>
        <v>1</v>
      </c>
    </row>
    <row r="30" spans="1:34" ht="30" x14ac:dyDescent="0.4">
      <c r="A30" s="177" t="str">
        <f t="shared" si="0"/>
        <v>D029</v>
      </c>
      <c r="B30" s="177" t="str">
        <f>VLOOKUP(C30,item!B:C,2,0)</f>
        <v>D</v>
      </c>
      <c r="C30" s="178" t="s">
        <v>707</v>
      </c>
      <c r="D30" s="179" t="s">
        <v>735</v>
      </c>
      <c r="E30" s="180" t="s">
        <v>736</v>
      </c>
      <c r="F30" s="181">
        <v>65013</v>
      </c>
      <c r="G30" s="182" t="s">
        <v>737</v>
      </c>
      <c r="H30" s="181">
        <v>308</v>
      </c>
      <c r="I30" s="183">
        <v>36647</v>
      </c>
      <c r="J30" s="184">
        <f>MONTH('Filter5-陣列-choose'!$I30)</f>
        <v>5</v>
      </c>
      <c r="K30" s="181"/>
      <c r="L30" s="186" t="s">
        <v>738</v>
      </c>
      <c r="V30" s="23" t="b">
        <f ca="1"/>
        <v>0</v>
      </c>
      <c r="X30" s="252">
        <v>1</v>
      </c>
      <c r="Y30" s="252">
        <v>2</v>
      </c>
      <c r="Z30" s="252">
        <v>3</v>
      </c>
      <c r="AA30" s="252">
        <v>4</v>
      </c>
      <c r="AB30" s="252">
        <v>5</v>
      </c>
      <c r="AC30" s="252">
        <v>9</v>
      </c>
    </row>
    <row r="31" spans="1:34" ht="45" x14ac:dyDescent="0.4">
      <c r="A31" s="187" t="str">
        <f t="shared" si="0"/>
        <v>D030</v>
      </c>
      <c r="B31" s="187" t="str">
        <f>VLOOKUP(C31,item!B:C,2,0)</f>
        <v>D</v>
      </c>
      <c r="C31" s="188" t="s">
        <v>707</v>
      </c>
      <c r="D31" s="234" t="s">
        <v>739</v>
      </c>
      <c r="E31" s="235" t="s">
        <v>740</v>
      </c>
      <c r="F31" s="234" t="s">
        <v>741</v>
      </c>
      <c r="G31" s="236" t="s">
        <v>742</v>
      </c>
      <c r="H31" s="234" t="s">
        <v>743</v>
      </c>
      <c r="I31" s="192">
        <v>36678</v>
      </c>
      <c r="J31" s="193">
        <f>MONTH('Filter5-陣列-choose'!$I31)</f>
        <v>6</v>
      </c>
      <c r="K31" s="234"/>
      <c r="L31" s="194" t="s">
        <v>744</v>
      </c>
      <c r="V31" s="23" t="b">
        <f ca="1"/>
        <v>0</v>
      </c>
      <c r="X31" s="33" t="s">
        <v>275</v>
      </c>
      <c r="Y31" s="33" t="s">
        <v>827</v>
      </c>
      <c r="Z31" s="33" t="s">
        <v>623</v>
      </c>
      <c r="AA31" s="33" t="s">
        <v>624</v>
      </c>
      <c r="AB31" s="33" t="s">
        <v>625</v>
      </c>
      <c r="AC31" s="256" t="s">
        <v>831</v>
      </c>
    </row>
    <row r="32" spans="1:34" ht="45" x14ac:dyDescent="0.4">
      <c r="A32" s="177" t="str">
        <f t="shared" si="0"/>
        <v>D031</v>
      </c>
      <c r="B32" s="177" t="str">
        <f>VLOOKUP(C32,item!B:C,2,0)</f>
        <v>D</v>
      </c>
      <c r="C32" s="178" t="s">
        <v>707</v>
      </c>
      <c r="D32" s="198" t="s">
        <v>745</v>
      </c>
      <c r="E32" s="237" t="s">
        <v>740</v>
      </c>
      <c r="F32" s="198" t="s">
        <v>741</v>
      </c>
      <c r="G32" s="197" t="s">
        <v>746</v>
      </c>
      <c r="H32" s="198" t="s">
        <v>743</v>
      </c>
      <c r="I32" s="183">
        <v>36708</v>
      </c>
      <c r="J32" s="184">
        <f>MONTH('Filter5-陣列-choose'!$I32)</f>
        <v>7</v>
      </c>
      <c r="K32" s="195"/>
      <c r="L32" s="186" t="s">
        <v>747</v>
      </c>
      <c r="V32" s="23" t="b">
        <f ca="1"/>
        <v>0</v>
      </c>
      <c r="X32" s="23" t="str" cm="1">
        <f t="array" ref="X32:AC36">_xlfn._xlws.FILTER(_xlfn._xlws.FILTER(staff,MONTH(到職日期)=X2,"本月無資料"),{1,1,1,1,1,0,0,0,1,0,0},"本月無資料")</f>
        <v>A002</v>
      </c>
      <c r="Y32" s="23" t="str">
        <v>A</v>
      </c>
      <c r="Z32" s="23" t="str">
        <v>行政室</v>
      </c>
      <c r="AA32" s="23" t="str">
        <v>陳雅君</v>
      </c>
      <c r="AB32" s="23" t="str">
        <v>幹事</v>
      </c>
      <c r="AC32" s="128">
        <v>35827</v>
      </c>
    </row>
    <row r="33" spans="1:35" ht="45" x14ac:dyDescent="0.4">
      <c r="A33" s="187" t="str">
        <f t="shared" si="0"/>
        <v>D032</v>
      </c>
      <c r="B33" s="187" t="str">
        <f>VLOOKUP(C33,item!B:C,2,0)</f>
        <v>D</v>
      </c>
      <c r="C33" s="188" t="s">
        <v>707</v>
      </c>
      <c r="D33" s="189" t="s">
        <v>748</v>
      </c>
      <c r="E33" s="199" t="s">
        <v>740</v>
      </c>
      <c r="F33" s="189" t="s">
        <v>741</v>
      </c>
      <c r="G33" s="191" t="s">
        <v>749</v>
      </c>
      <c r="H33" s="189" t="s">
        <v>743</v>
      </c>
      <c r="I33" s="192">
        <v>36739</v>
      </c>
      <c r="J33" s="193">
        <f>MONTH('Filter5-陣列-choose'!$I33)</f>
        <v>8</v>
      </c>
      <c r="K33" s="189"/>
      <c r="L33" s="194" t="s">
        <v>750</v>
      </c>
      <c r="V33" s="23" t="b">
        <f ca="1"/>
        <v>0</v>
      </c>
      <c r="X33" s="23" t="str">
        <v>C014</v>
      </c>
      <c r="Y33" s="23" t="str">
        <v>C</v>
      </c>
      <c r="Z33" s="23" t="str">
        <v>作業組</v>
      </c>
      <c r="AA33" s="23" t="str">
        <v>黃斐曼</v>
      </c>
      <c r="AB33" s="23" t="str">
        <v>幹事</v>
      </c>
      <c r="AC33" s="128">
        <v>36192</v>
      </c>
    </row>
    <row r="34" spans="1:35" x14ac:dyDescent="0.4">
      <c r="A34" s="177" t="str">
        <f t="shared" si="0"/>
        <v>E033</v>
      </c>
      <c r="B34" s="177" t="str">
        <f>VLOOKUP(C34,item!B:C,2,0)</f>
        <v>E</v>
      </c>
      <c r="C34" s="178" t="s">
        <v>751</v>
      </c>
      <c r="D34" s="179" t="s">
        <v>752</v>
      </c>
      <c r="E34" s="180" t="s">
        <v>660</v>
      </c>
      <c r="F34" s="181">
        <v>65003</v>
      </c>
      <c r="G34" s="182" t="s">
        <v>753</v>
      </c>
      <c r="H34" s="181">
        <v>215</v>
      </c>
      <c r="I34" s="183">
        <v>36770</v>
      </c>
      <c r="J34" s="184">
        <f>MONTH('Filter5-陣列-choose'!$I34)</f>
        <v>9</v>
      </c>
      <c r="K34" s="181"/>
      <c r="L34" s="186" t="s">
        <v>754</v>
      </c>
      <c r="V34" s="23" t="b">
        <f ca="1"/>
        <v>0</v>
      </c>
      <c r="X34" s="23" t="str">
        <v>D026</v>
      </c>
      <c r="Y34" s="23" t="str">
        <v>D</v>
      </c>
      <c r="Z34" s="23" t="str">
        <v>網路組</v>
      </c>
      <c r="AA34" s="23" t="str">
        <v>李墨軒</v>
      </c>
      <c r="AB34" s="23" t="str">
        <v>幹事</v>
      </c>
      <c r="AC34" s="128">
        <v>36557</v>
      </c>
    </row>
    <row r="35" spans="1:35" x14ac:dyDescent="0.4">
      <c r="A35" s="187" t="str">
        <f t="shared" si="0"/>
        <v>E034</v>
      </c>
      <c r="B35" s="187" t="str">
        <f>VLOOKUP(C35,item!B:C,2,0)</f>
        <v>E</v>
      </c>
      <c r="C35" s="188" t="s">
        <v>751</v>
      </c>
      <c r="D35" s="189" t="s">
        <v>755</v>
      </c>
      <c r="E35" s="213" t="s">
        <v>839</v>
      </c>
      <c r="F35" s="189">
        <v>65035</v>
      </c>
      <c r="G35" s="191" t="s">
        <v>756</v>
      </c>
      <c r="H35" s="189">
        <v>201</v>
      </c>
      <c r="I35" s="192">
        <v>36800</v>
      </c>
      <c r="J35" s="193">
        <f>MONTH('Filter5-陣列-choose'!$I35)</f>
        <v>10</v>
      </c>
      <c r="K35" s="189"/>
      <c r="L35" s="194" t="s">
        <v>757</v>
      </c>
      <c r="V35" s="23" t="b">
        <f ca="1"/>
        <v>0</v>
      </c>
      <c r="X35" s="23" t="str">
        <v>E038</v>
      </c>
      <c r="Y35" s="23" t="str">
        <v>E</v>
      </c>
      <c r="Z35" s="23" t="str">
        <v>程式組</v>
      </c>
      <c r="AA35" s="23" t="str">
        <v>鄧永清</v>
      </c>
      <c r="AB35" s="23" t="str">
        <v>技士</v>
      </c>
      <c r="AC35" s="128">
        <v>36923</v>
      </c>
    </row>
    <row r="36" spans="1:35" x14ac:dyDescent="0.4">
      <c r="A36" s="177" t="str">
        <f t="shared" si="0"/>
        <v>E035</v>
      </c>
      <c r="B36" s="177" t="str">
        <f>VLOOKUP(C36,item!B:C,2,0)</f>
        <v>E</v>
      </c>
      <c r="C36" s="178" t="s">
        <v>751</v>
      </c>
      <c r="D36" s="198" t="s">
        <v>758</v>
      </c>
      <c r="E36" s="196" t="s">
        <v>641</v>
      </c>
      <c r="F36" s="201">
        <v>65042</v>
      </c>
      <c r="G36" s="228" t="s">
        <v>759</v>
      </c>
      <c r="H36" s="201">
        <v>200</v>
      </c>
      <c r="I36" s="183">
        <v>36831</v>
      </c>
      <c r="J36" s="184">
        <f>MONTH('Filter5-陣列-choose'!$I36)</f>
        <v>11</v>
      </c>
      <c r="K36" s="201"/>
      <c r="L36" s="186" t="s">
        <v>760</v>
      </c>
      <c r="V36" s="23" t="b">
        <f ca="1"/>
        <v>0</v>
      </c>
      <c r="X36" s="23" t="str">
        <v>E050</v>
      </c>
      <c r="Y36" s="23" t="str">
        <v>E</v>
      </c>
      <c r="Z36" s="23" t="str">
        <v>程式組</v>
      </c>
      <c r="AA36" s="23" t="str">
        <v>楊家榮</v>
      </c>
      <c r="AB36" s="23" t="str">
        <v>幹事</v>
      </c>
      <c r="AC36" s="128">
        <v>37288</v>
      </c>
    </row>
    <row r="37" spans="1:35" x14ac:dyDescent="0.4">
      <c r="A37" s="187" t="str">
        <f t="shared" si="0"/>
        <v>E036</v>
      </c>
      <c r="B37" s="187" t="str">
        <f>VLOOKUP(C37,item!B:C,2,0)</f>
        <v>E</v>
      </c>
      <c r="C37" s="188" t="s">
        <v>751</v>
      </c>
      <c r="D37" s="189" t="s">
        <v>761</v>
      </c>
      <c r="E37" s="199" t="s">
        <v>641</v>
      </c>
      <c r="F37" s="189">
        <v>65041</v>
      </c>
      <c r="G37" s="191" t="s">
        <v>762</v>
      </c>
      <c r="H37" s="189">
        <v>200</v>
      </c>
      <c r="I37" s="192">
        <v>36861</v>
      </c>
      <c r="J37" s="193">
        <f>MONTH('Filter5-陣列-choose'!$I37)</f>
        <v>12</v>
      </c>
      <c r="K37" s="189"/>
      <c r="L37" s="194" t="s">
        <v>763</v>
      </c>
      <c r="V37" s="23" t="b">
        <f ca="1"/>
        <v>0</v>
      </c>
    </row>
    <row r="38" spans="1:35" x14ac:dyDescent="0.4">
      <c r="A38" s="177" t="str">
        <f t="shared" si="0"/>
        <v>E037</v>
      </c>
      <c r="B38" s="177" t="str">
        <f>VLOOKUP(C38,item!B:C,2,0)</f>
        <v>E</v>
      </c>
      <c r="C38" s="178" t="s">
        <v>751</v>
      </c>
      <c r="D38" s="198"/>
      <c r="E38" s="196"/>
      <c r="F38" s="198">
        <v>65040</v>
      </c>
      <c r="G38" s="197"/>
      <c r="H38" s="198">
        <v>200</v>
      </c>
      <c r="I38" s="183">
        <v>36892</v>
      </c>
      <c r="J38" s="184">
        <f>MONTH('Filter5-陣列-choose'!$I38)</f>
        <v>1</v>
      </c>
      <c r="K38" s="198"/>
      <c r="L38" s="186" t="s">
        <v>764</v>
      </c>
      <c r="V38" s="23" t="b">
        <f ca="1"/>
        <v>0</v>
      </c>
    </row>
    <row r="39" spans="1:35" x14ac:dyDescent="0.4">
      <c r="A39" s="187" t="str">
        <f t="shared" si="0"/>
        <v>E038</v>
      </c>
      <c r="B39" s="187" t="str">
        <f>VLOOKUP(C39,item!B:C,2,0)</f>
        <v>E</v>
      </c>
      <c r="C39" s="188" t="s">
        <v>751</v>
      </c>
      <c r="D39" s="189" t="s">
        <v>765</v>
      </c>
      <c r="E39" s="199" t="s">
        <v>766</v>
      </c>
      <c r="F39" s="189">
        <v>65039</v>
      </c>
      <c r="G39" s="191" t="s">
        <v>767</v>
      </c>
      <c r="H39" s="189">
        <v>207</v>
      </c>
      <c r="I39" s="192">
        <v>36923</v>
      </c>
      <c r="J39" s="193">
        <f>MONTH('Filter5-陣列-choose'!$I39)</f>
        <v>2</v>
      </c>
      <c r="K39" s="189"/>
      <c r="L39" s="194" t="s">
        <v>768</v>
      </c>
      <c r="V39" s="23" t="b">
        <f ca="1"/>
        <v>0</v>
      </c>
    </row>
    <row r="40" spans="1:35" x14ac:dyDescent="0.4">
      <c r="A40" s="177" t="str">
        <f t="shared" si="0"/>
        <v>E039</v>
      </c>
      <c r="B40" s="177" t="str">
        <f>VLOOKUP(C40,item!B:C,2,0)</f>
        <v>E</v>
      </c>
      <c r="C40" s="178" t="s">
        <v>751</v>
      </c>
      <c r="D40" s="214"/>
      <c r="E40" s="196"/>
      <c r="F40" s="198">
        <v>65037</v>
      </c>
      <c r="G40" s="197"/>
      <c r="H40" s="198">
        <v>207</v>
      </c>
      <c r="I40" s="183">
        <v>36951</v>
      </c>
      <c r="J40" s="184">
        <f>MONTH('Filter5-陣列-choose'!$I40)</f>
        <v>3</v>
      </c>
      <c r="K40" s="215"/>
      <c r="L40" s="186" t="s">
        <v>769</v>
      </c>
      <c r="V40" s="23" t="b">
        <f ca="1"/>
        <v>0</v>
      </c>
    </row>
    <row r="41" spans="1:35" x14ac:dyDescent="0.4">
      <c r="A41" s="187" t="str">
        <f t="shared" si="0"/>
        <v>E040</v>
      </c>
      <c r="B41" s="187" t="str">
        <f>VLOOKUP(C41,item!B:C,2,0)</f>
        <v>E</v>
      </c>
      <c r="C41" s="188" t="s">
        <v>751</v>
      </c>
      <c r="D41" s="189" t="s">
        <v>770</v>
      </c>
      <c r="E41" s="199" t="s">
        <v>641</v>
      </c>
      <c r="F41" s="189">
        <v>65517</v>
      </c>
      <c r="G41" s="191" t="s">
        <v>771</v>
      </c>
      <c r="H41" s="189">
        <v>311</v>
      </c>
      <c r="I41" s="192">
        <v>36982</v>
      </c>
      <c r="J41" s="193">
        <f>MONTH('Filter5-陣列-choose'!$I41)</f>
        <v>4</v>
      </c>
      <c r="K41" s="189"/>
      <c r="L41" s="194" t="s">
        <v>772</v>
      </c>
      <c r="V41" s="23" t="b">
        <f ca="1"/>
        <v>1</v>
      </c>
      <c r="X41" s="130" t="s">
        <v>822</v>
      </c>
      <c r="Y41" s="259">
        <f>X2</f>
        <v>2</v>
      </c>
    </row>
    <row r="42" spans="1:35" x14ac:dyDescent="0.4">
      <c r="A42" s="177" t="str">
        <f t="shared" si="0"/>
        <v>E041</v>
      </c>
      <c r="B42" s="177" t="str">
        <f>VLOOKUP(C42,item!B:C,2,0)</f>
        <v>E</v>
      </c>
      <c r="C42" s="178" t="s">
        <v>751</v>
      </c>
      <c r="D42" s="198" t="s">
        <v>773</v>
      </c>
      <c r="E42" s="196" t="s">
        <v>649</v>
      </c>
      <c r="F42" s="198">
        <v>65514</v>
      </c>
      <c r="G42" s="197" t="s">
        <v>774</v>
      </c>
      <c r="H42" s="198">
        <v>311</v>
      </c>
      <c r="I42" s="183">
        <v>37012</v>
      </c>
      <c r="J42" s="184">
        <f>MONTH('Filter5-陣列-choose'!$I42)</f>
        <v>5</v>
      </c>
      <c r="K42" s="198"/>
      <c r="L42" s="186" t="s">
        <v>775</v>
      </c>
      <c r="V42" s="23" t="b">
        <f ca="1"/>
        <v>0</v>
      </c>
      <c r="X42" s="135" t="s">
        <v>849</v>
      </c>
    </row>
    <row r="43" spans="1:35" x14ac:dyDescent="0.4">
      <c r="A43" s="187" t="str">
        <f t="shared" si="0"/>
        <v>E042</v>
      </c>
      <c r="B43" s="187" t="str">
        <f>VLOOKUP(C43,item!B:C,2,0)</f>
        <v>E</v>
      </c>
      <c r="C43" s="188" t="s">
        <v>751</v>
      </c>
      <c r="D43" s="238" t="s">
        <v>776</v>
      </c>
      <c r="E43" s="225" t="s">
        <v>641</v>
      </c>
      <c r="F43" s="226">
        <v>65515</v>
      </c>
      <c r="G43" s="239" t="s">
        <v>777</v>
      </c>
      <c r="H43" s="226">
        <v>311</v>
      </c>
      <c r="I43" s="192">
        <v>37043</v>
      </c>
      <c r="J43" s="193">
        <f>MONTH('Filter5-陣列-choose'!$I43)</f>
        <v>6</v>
      </c>
      <c r="K43" s="240"/>
      <c r="L43" s="194" t="s">
        <v>778</v>
      </c>
      <c r="V43" s="23" t="b">
        <f ca="1"/>
        <v>0</v>
      </c>
      <c r="X43" s="135" t="s">
        <v>889</v>
      </c>
    </row>
    <row r="44" spans="1:35" x14ac:dyDescent="0.4">
      <c r="A44" s="177" t="str">
        <f t="shared" si="0"/>
        <v>E043</v>
      </c>
      <c r="B44" s="177" t="str">
        <f>VLOOKUP(C44,item!B:C,2,0)</f>
        <v>E</v>
      </c>
      <c r="C44" s="178" t="s">
        <v>751</v>
      </c>
      <c r="D44" s="214" t="s">
        <v>779</v>
      </c>
      <c r="E44" s="196" t="s">
        <v>641</v>
      </c>
      <c r="F44" s="198">
        <v>65520</v>
      </c>
      <c r="G44" s="197" t="s">
        <v>780</v>
      </c>
      <c r="H44" s="198">
        <v>311</v>
      </c>
      <c r="I44" s="183">
        <v>37073</v>
      </c>
      <c r="J44" s="184">
        <f>MONTH('Filter5-陣列-choose'!$I44)</f>
        <v>7</v>
      </c>
      <c r="K44" s="215"/>
      <c r="L44" s="186" t="s">
        <v>781</v>
      </c>
      <c r="V44" s="23" t="b">
        <f ca="1"/>
        <v>0</v>
      </c>
      <c r="W44" s="281" t="s">
        <v>896</v>
      </c>
      <c r="X44" s="136">
        <v>1</v>
      </c>
      <c r="Y44" s="136">
        <v>2</v>
      </c>
      <c r="Z44" s="136">
        <v>3</v>
      </c>
      <c r="AA44" s="136">
        <v>4</v>
      </c>
      <c r="AB44" s="136">
        <v>5</v>
      </c>
    </row>
    <row r="45" spans="1:35" ht="30.9" x14ac:dyDescent="0.4">
      <c r="A45" s="187" t="str">
        <f t="shared" si="0"/>
        <v>E044</v>
      </c>
      <c r="B45" s="187" t="str">
        <f>VLOOKUP(C45,item!B:C,2,0)</f>
        <v>E</v>
      </c>
      <c r="C45" s="241" t="s">
        <v>751</v>
      </c>
      <c r="D45" s="189" t="s">
        <v>782</v>
      </c>
      <c r="E45" s="199" t="s">
        <v>641</v>
      </c>
      <c r="F45" s="189">
        <v>65524</v>
      </c>
      <c r="G45" s="191" t="s">
        <v>783</v>
      </c>
      <c r="H45" s="189">
        <v>311</v>
      </c>
      <c r="I45" s="192">
        <v>37104</v>
      </c>
      <c r="J45" s="193">
        <f>MONTH('Filter5-陣列-choose'!$I45)</f>
        <v>8</v>
      </c>
      <c r="K45" s="189"/>
      <c r="L45" s="194" t="s">
        <v>784</v>
      </c>
      <c r="V45" s="23" t="b">
        <f ca="1"/>
        <v>0</v>
      </c>
      <c r="W45" s="282" t="s">
        <v>897</v>
      </c>
      <c r="X45" s="252" t="s">
        <v>894</v>
      </c>
      <c r="Y45" s="252" t="s">
        <v>890</v>
      </c>
      <c r="Z45" s="252" t="s">
        <v>891</v>
      </c>
      <c r="AA45" s="252" t="s">
        <v>892</v>
      </c>
      <c r="AB45" s="252" t="s">
        <v>893</v>
      </c>
    </row>
    <row r="46" spans="1:35" x14ac:dyDescent="0.4">
      <c r="A46" s="177" t="str">
        <f t="shared" si="0"/>
        <v>E045</v>
      </c>
      <c r="B46" s="177" t="str">
        <f>VLOOKUP(C46,item!B:C,2,0)</f>
        <v>E</v>
      </c>
      <c r="C46" s="242" t="s">
        <v>751</v>
      </c>
      <c r="D46" s="198" t="s">
        <v>785</v>
      </c>
      <c r="E46" s="196" t="s">
        <v>641</v>
      </c>
      <c r="F46" s="198">
        <v>65523</v>
      </c>
      <c r="G46" s="197" t="s">
        <v>786</v>
      </c>
      <c r="H46" s="198">
        <v>311</v>
      </c>
      <c r="I46" s="183">
        <v>37135</v>
      </c>
      <c r="J46" s="184">
        <f>MONTH('Filter5-陣列-choose'!$I46)</f>
        <v>9</v>
      </c>
      <c r="K46" s="198"/>
      <c r="L46" s="186" t="s">
        <v>787</v>
      </c>
      <c r="V46" s="23" t="b">
        <f ca="1"/>
        <v>0</v>
      </c>
      <c r="X46" s="33" t="s">
        <v>275</v>
      </c>
      <c r="Y46" s="33" t="s">
        <v>623</v>
      </c>
      <c r="Z46" s="33" t="s">
        <v>624</v>
      </c>
      <c r="AA46" s="33" t="s">
        <v>625</v>
      </c>
      <c r="AB46" s="256" t="s">
        <v>831</v>
      </c>
    </row>
    <row r="47" spans="1:35" x14ac:dyDescent="0.4">
      <c r="A47" s="187" t="str">
        <f t="shared" si="0"/>
        <v>E046</v>
      </c>
      <c r="B47" s="187" t="str">
        <f>VLOOKUP(C47,item!B:C,2,0)</f>
        <v>E</v>
      </c>
      <c r="C47" s="241" t="s">
        <v>751</v>
      </c>
      <c r="D47" s="189" t="s">
        <v>788</v>
      </c>
      <c r="E47" s="199" t="s">
        <v>641</v>
      </c>
      <c r="F47" s="189">
        <v>65521</v>
      </c>
      <c r="G47" s="191" t="s">
        <v>789</v>
      </c>
      <c r="H47" s="189">
        <v>315</v>
      </c>
      <c r="I47" s="192">
        <v>37165</v>
      </c>
      <c r="J47" s="193">
        <f>MONTH('Filter5-陣列-choose'!$I47)</f>
        <v>10</v>
      </c>
      <c r="K47" s="189"/>
      <c r="L47" s="194" t="s">
        <v>790</v>
      </c>
      <c r="V47" s="23" t="b">
        <f ca="1"/>
        <v>0</v>
      </c>
      <c r="X47" s="23" t="str" cm="1">
        <f t="array" ref="X47:AB51">_xlfn._xlws.FILTER(CHOOSE({1,2,3,4,5},A2:A54,C2:C54,D2:D54,E2:E54,I2:I54),MONTH(到職日期)=X2,"本月無資料")</f>
        <v>A002</v>
      </c>
      <c r="Y47" s="23" t="str">
        <v>行政室</v>
      </c>
      <c r="Z47" s="23" t="str">
        <v>陳雅君</v>
      </c>
      <c r="AA47" s="23" t="str">
        <v>幹事</v>
      </c>
      <c r="AB47" s="23">
        <v>35827</v>
      </c>
      <c r="AE47" s="23" t="str" cm="1">
        <f t="array" ref="AE47:AI99">CHOOSE({1,2,3,4,5},A2:A54,C2:C54,D2:D54,E2:E54,I2:I54)</f>
        <v>A001</v>
      </c>
      <c r="AF47" s="23" t="str">
        <v>行政室</v>
      </c>
      <c r="AG47" s="23" t="str">
        <v>顏嗣鈞</v>
      </c>
      <c r="AH47" s="23" t="str">
        <v>主任</v>
      </c>
      <c r="AI47" s="23">
        <v>35796</v>
      </c>
    </row>
    <row r="48" spans="1:35" x14ac:dyDescent="0.4">
      <c r="A48" s="177" t="str">
        <f t="shared" si="0"/>
        <v>E047</v>
      </c>
      <c r="B48" s="177" t="str">
        <f>VLOOKUP(C48,item!B:C,2,0)</f>
        <v>E</v>
      </c>
      <c r="C48" s="242" t="s">
        <v>751</v>
      </c>
      <c r="D48" s="198" t="s">
        <v>791</v>
      </c>
      <c r="E48" s="196" t="s">
        <v>641</v>
      </c>
      <c r="F48" s="198">
        <v>65518</v>
      </c>
      <c r="G48" s="197" t="s">
        <v>792</v>
      </c>
      <c r="H48" s="198">
        <v>315</v>
      </c>
      <c r="I48" s="183">
        <v>37196</v>
      </c>
      <c r="J48" s="184">
        <f>MONTH('Filter5-陣列-choose'!$I48)</f>
        <v>11</v>
      </c>
      <c r="K48" s="198"/>
      <c r="L48" s="186" t="s">
        <v>793</v>
      </c>
      <c r="V48" s="23" t="b">
        <f ca="1"/>
        <v>0</v>
      </c>
      <c r="X48" s="23" t="str">
        <v>C014</v>
      </c>
      <c r="Y48" s="23" t="str">
        <v>作業組</v>
      </c>
      <c r="Z48" s="23" t="str">
        <v>黃斐曼</v>
      </c>
      <c r="AA48" s="23" t="str">
        <v>幹事</v>
      </c>
      <c r="AB48" s="23">
        <v>36192</v>
      </c>
      <c r="AE48" s="23" t="str">
        <v>A002</v>
      </c>
      <c r="AF48" s="23" t="str">
        <v>行政室</v>
      </c>
      <c r="AG48" s="23" t="str">
        <v>陳雅君</v>
      </c>
      <c r="AH48" s="23" t="str">
        <v>幹事</v>
      </c>
      <c r="AI48" s="23">
        <v>35827</v>
      </c>
    </row>
    <row r="49" spans="1:35" x14ac:dyDescent="0.4">
      <c r="A49" s="187" t="str">
        <f t="shared" si="0"/>
        <v>E048</v>
      </c>
      <c r="B49" s="187" t="str">
        <f>VLOOKUP(C49,item!B:C,2,0)</f>
        <v>E</v>
      </c>
      <c r="C49" s="241" t="s">
        <v>751</v>
      </c>
      <c r="D49" s="226"/>
      <c r="E49" s="199" t="s">
        <v>641</v>
      </c>
      <c r="F49" s="189">
        <v>65516</v>
      </c>
      <c r="G49" s="191"/>
      <c r="H49" s="189">
        <v>315</v>
      </c>
      <c r="I49" s="192">
        <v>37226</v>
      </c>
      <c r="J49" s="193">
        <f>MONTH('Filter5-陣列-choose'!$I49)</f>
        <v>12</v>
      </c>
      <c r="K49" s="240"/>
      <c r="L49" s="194" t="s">
        <v>794</v>
      </c>
      <c r="V49" s="23" t="b">
        <f ca="1"/>
        <v>0</v>
      </c>
      <c r="X49" s="23" t="str">
        <v>D026</v>
      </c>
      <c r="Y49" s="23" t="str">
        <v>網路組</v>
      </c>
      <c r="Z49" s="23" t="str">
        <v>李墨軒</v>
      </c>
      <c r="AA49" s="23" t="str">
        <v>幹事</v>
      </c>
      <c r="AB49" s="23">
        <v>36557</v>
      </c>
      <c r="AE49" s="23" t="str">
        <v>A003</v>
      </c>
      <c r="AF49" s="23" t="str">
        <v>行政室</v>
      </c>
      <c r="AG49" s="23" t="str">
        <v>陳郁文</v>
      </c>
      <c r="AH49" s="23" t="str">
        <v>編審</v>
      </c>
      <c r="AI49" s="23">
        <v>35855</v>
      </c>
    </row>
    <row r="50" spans="1:35" x14ac:dyDescent="0.4">
      <c r="A50" s="177" t="str">
        <f t="shared" si="0"/>
        <v>E049</v>
      </c>
      <c r="B50" s="177" t="str">
        <f>VLOOKUP(C50,item!B:C,2,0)</f>
        <v>E</v>
      </c>
      <c r="C50" s="242" t="s">
        <v>751</v>
      </c>
      <c r="D50" s="198" t="s">
        <v>795</v>
      </c>
      <c r="E50" s="196" t="s">
        <v>641</v>
      </c>
      <c r="F50" s="198">
        <v>65056</v>
      </c>
      <c r="G50" s="197" t="s">
        <v>796</v>
      </c>
      <c r="H50" s="198">
        <v>316</v>
      </c>
      <c r="I50" s="183">
        <v>37257</v>
      </c>
      <c r="J50" s="184">
        <f>MONTH('Filter5-陣列-choose'!$I50)</f>
        <v>1</v>
      </c>
      <c r="K50" s="198"/>
      <c r="L50" s="186" t="s">
        <v>797</v>
      </c>
      <c r="V50" s="23" t="b">
        <f ca="1"/>
        <v>0</v>
      </c>
      <c r="X50" s="23" t="str">
        <v>E038</v>
      </c>
      <c r="Y50" s="23" t="str">
        <v>程式組</v>
      </c>
      <c r="Z50" s="23" t="str">
        <v>鄧永清</v>
      </c>
      <c r="AA50" s="23" t="str">
        <v>技士</v>
      </c>
      <c r="AB50" s="23">
        <v>36923</v>
      </c>
      <c r="AE50" s="23" t="str">
        <v>A004</v>
      </c>
      <c r="AF50" s="23" t="str">
        <v>行政室</v>
      </c>
      <c r="AG50" s="23" t="str">
        <v>陳玟諭</v>
      </c>
      <c r="AH50" s="23" t="str">
        <v>副理</v>
      </c>
      <c r="AI50" s="23">
        <v>35886</v>
      </c>
    </row>
    <row r="51" spans="1:35" x14ac:dyDescent="0.4">
      <c r="A51" s="187" t="str">
        <f t="shared" si="0"/>
        <v>E050</v>
      </c>
      <c r="B51" s="187" t="str">
        <f>VLOOKUP(C51,item!B:C,2,0)</f>
        <v>E</v>
      </c>
      <c r="C51" s="241" t="s">
        <v>751</v>
      </c>
      <c r="D51" s="189" t="s">
        <v>798</v>
      </c>
      <c r="E51" s="199" t="s">
        <v>641</v>
      </c>
      <c r="F51" s="203">
        <v>65032</v>
      </c>
      <c r="G51" s="204" t="s">
        <v>799</v>
      </c>
      <c r="H51" s="203">
        <v>316</v>
      </c>
      <c r="I51" s="192">
        <v>37288</v>
      </c>
      <c r="J51" s="193">
        <f>MONTH('Filter5-陣列-choose'!$I51)</f>
        <v>2</v>
      </c>
      <c r="K51" s="203"/>
      <c r="L51" s="194" t="s">
        <v>800</v>
      </c>
      <c r="V51" s="23" t="b">
        <f ca="1"/>
        <v>0</v>
      </c>
      <c r="X51" s="23" t="str">
        <v>E050</v>
      </c>
      <c r="Y51" s="23" t="str">
        <v>程式組</v>
      </c>
      <c r="Z51" s="23" t="str">
        <v>楊家榮</v>
      </c>
      <c r="AA51" s="23" t="str">
        <v>幹事</v>
      </c>
      <c r="AB51" s="23">
        <v>37288</v>
      </c>
      <c r="AE51" s="23" t="str">
        <v>A005</v>
      </c>
      <c r="AF51" s="23" t="str">
        <v>行政室</v>
      </c>
      <c r="AG51" s="23" t="str">
        <v>石馥瑄</v>
      </c>
      <c r="AH51" s="23" t="str">
        <v>全職工讀生</v>
      </c>
      <c r="AI51" s="23">
        <v>35916</v>
      </c>
    </row>
    <row r="52" spans="1:35" x14ac:dyDescent="0.4">
      <c r="A52" s="177" t="str">
        <f t="shared" si="0"/>
        <v>E051</v>
      </c>
      <c r="B52" s="177" t="str">
        <f>VLOOKUP(C52,item!B:C,2,0)</f>
        <v>E</v>
      </c>
      <c r="C52" s="242" t="s">
        <v>751</v>
      </c>
      <c r="D52" s="243" t="s">
        <v>801</v>
      </c>
      <c r="E52" s="196" t="s">
        <v>641</v>
      </c>
      <c r="F52" s="201">
        <v>65025</v>
      </c>
      <c r="G52" s="228" t="s">
        <v>802</v>
      </c>
      <c r="H52" s="201">
        <v>316</v>
      </c>
      <c r="I52" s="183">
        <v>37316</v>
      </c>
      <c r="J52" s="184">
        <f>MONTH('Filter5-陣列-choose'!$I52)</f>
        <v>3</v>
      </c>
      <c r="K52" s="201"/>
      <c r="L52" s="186" t="s">
        <v>803</v>
      </c>
      <c r="V52" s="23" t="b">
        <f ca="1"/>
        <v>0</v>
      </c>
      <c r="AE52" s="23" t="str">
        <v>B006</v>
      </c>
      <c r="AF52" s="23" t="str">
        <v>教學組</v>
      </c>
      <c r="AG52" s="23" t="str">
        <v>林維真</v>
      </c>
      <c r="AH52" s="23" t="str">
        <v>組長</v>
      </c>
      <c r="AI52" s="23">
        <v>35947</v>
      </c>
    </row>
    <row r="53" spans="1:35" ht="30" x14ac:dyDescent="0.4">
      <c r="A53" s="187" t="str">
        <f t="shared" si="0"/>
        <v>E052</v>
      </c>
      <c r="B53" s="187" t="str">
        <f>VLOOKUP(C53,item!B:C,2,0)</f>
        <v>E</v>
      </c>
      <c r="C53" s="241" t="s">
        <v>751</v>
      </c>
      <c r="D53" s="189" t="s">
        <v>804</v>
      </c>
      <c r="E53" s="199" t="s">
        <v>805</v>
      </c>
      <c r="F53" s="203">
        <v>65015</v>
      </c>
      <c r="G53" s="204" t="s">
        <v>806</v>
      </c>
      <c r="H53" s="203">
        <v>407</v>
      </c>
      <c r="I53" s="192">
        <v>37347</v>
      </c>
      <c r="J53" s="193">
        <f>MONTH('Filter5-陣列-choose'!$I53)</f>
        <v>4</v>
      </c>
      <c r="K53" s="203"/>
      <c r="L53" s="194" t="s">
        <v>807</v>
      </c>
      <c r="V53" s="23" t="b">
        <f ca="1"/>
        <v>1</v>
      </c>
      <c r="AE53" s="23" t="str">
        <v>B007</v>
      </c>
      <c r="AF53" s="23" t="str">
        <v>教學組</v>
      </c>
      <c r="AG53" s="23" t="str">
        <v>黃淑玲</v>
      </c>
      <c r="AH53" s="23" t="str">
        <v>經理</v>
      </c>
      <c r="AI53" s="23">
        <v>35977</v>
      </c>
    </row>
    <row r="54" spans="1:35" x14ac:dyDescent="0.4">
      <c r="A54" s="244" t="str">
        <f t="shared" si="0"/>
        <v>E053</v>
      </c>
      <c r="B54" s="244" t="str">
        <f>VLOOKUP(C54,item!B:C,2,0)</f>
        <v>E</v>
      </c>
      <c r="C54" s="245" t="s">
        <v>751</v>
      </c>
      <c r="D54" s="246" t="s">
        <v>808</v>
      </c>
      <c r="E54" s="247" t="s">
        <v>712</v>
      </c>
      <c r="F54" s="244">
        <v>65054</v>
      </c>
      <c r="G54" s="248" t="s">
        <v>809</v>
      </c>
      <c r="H54" s="244">
        <v>409</v>
      </c>
      <c r="I54" s="249">
        <v>37377</v>
      </c>
      <c r="J54" s="250">
        <f>MONTH('Filter5-陣列-choose'!$I54)</f>
        <v>5</v>
      </c>
      <c r="K54" s="244"/>
      <c r="L54" s="251" t="s">
        <v>810</v>
      </c>
      <c r="V54" s="23" t="b">
        <f ca="1"/>
        <v>0</v>
      </c>
      <c r="AE54" s="23" t="str">
        <v>B008</v>
      </c>
      <c r="AF54" s="23" t="str">
        <v>教學組</v>
      </c>
      <c r="AG54" s="23" t="str">
        <v>黃瀞瑩</v>
      </c>
      <c r="AH54" s="23" t="str">
        <v>幹事</v>
      </c>
      <c r="AI54" s="23">
        <v>36008</v>
      </c>
    </row>
    <row r="55" spans="1:35" x14ac:dyDescent="0.4">
      <c r="AE55" s="23" t="str">
        <v>B009</v>
      </c>
      <c r="AF55" s="23" t="str">
        <v>教學組</v>
      </c>
      <c r="AG55" s="23" t="str">
        <v>辛  宜</v>
      </c>
      <c r="AH55" s="23" t="str">
        <v>幹事</v>
      </c>
      <c r="AI55" s="23">
        <v>36039</v>
      </c>
    </row>
    <row r="56" spans="1:35" x14ac:dyDescent="0.4">
      <c r="AE56" s="23" t="str">
        <v>C010</v>
      </c>
      <c r="AF56" s="23" t="str">
        <v>作業組</v>
      </c>
      <c r="AG56" s="23" t="str">
        <v>江介宏</v>
      </c>
      <c r="AH56" s="23" t="str">
        <v>組長</v>
      </c>
      <c r="AI56" s="23">
        <v>36069</v>
      </c>
    </row>
    <row r="57" spans="1:35" x14ac:dyDescent="0.4">
      <c r="AE57" s="23" t="str">
        <v>C011</v>
      </c>
      <c r="AF57" s="23" t="str">
        <v>作業組</v>
      </c>
      <c r="AG57" s="23" t="str">
        <v>張傑生</v>
      </c>
      <c r="AH57" s="23" t="str">
        <v>程式設計師</v>
      </c>
      <c r="AI57" s="23">
        <v>36100</v>
      </c>
    </row>
    <row r="58" spans="1:35" x14ac:dyDescent="0.4">
      <c r="AE58" s="23" t="str">
        <v>C012</v>
      </c>
      <c r="AF58" s="23" t="str">
        <v>作業組</v>
      </c>
      <c r="AG58" s="23" t="str">
        <v>許凱平</v>
      </c>
      <c r="AH58" s="23" t="str">
        <v>程式設計師</v>
      </c>
      <c r="AI58" s="23">
        <v>36130</v>
      </c>
    </row>
    <row r="59" spans="1:35" x14ac:dyDescent="0.4">
      <c r="AE59" s="23" t="str">
        <v>C013</v>
      </c>
      <c r="AF59" s="23" t="str">
        <v>作業組</v>
      </c>
      <c r="AG59" s="23" t="str">
        <v>張素芬</v>
      </c>
      <c r="AH59" s="23" t="str">
        <v>幹事</v>
      </c>
      <c r="AI59" s="23">
        <v>36161</v>
      </c>
    </row>
    <row r="60" spans="1:35" x14ac:dyDescent="0.4">
      <c r="AE60" s="23" t="str">
        <v>C014</v>
      </c>
      <c r="AF60" s="23" t="str">
        <v>作業組</v>
      </c>
      <c r="AG60" s="23" t="str">
        <v>黃斐曼</v>
      </c>
      <c r="AH60" s="23" t="str">
        <v>幹事</v>
      </c>
      <c r="AI60" s="23">
        <v>36192</v>
      </c>
    </row>
    <row r="61" spans="1:35" x14ac:dyDescent="0.4">
      <c r="AE61" s="23" t="str">
        <v>C015</v>
      </c>
      <c r="AF61" s="23" t="str">
        <v>作業組</v>
      </c>
      <c r="AG61" s="23" t="str">
        <v>許可欣</v>
      </c>
      <c r="AH61" s="23" t="str">
        <v>幹事</v>
      </c>
      <c r="AI61" s="23">
        <v>36220</v>
      </c>
    </row>
    <row r="62" spans="1:35" x14ac:dyDescent="0.4">
      <c r="AE62" s="23" t="str">
        <v>C016</v>
      </c>
      <c r="AF62" s="23" t="str">
        <v>作業組</v>
      </c>
      <c r="AG62" s="23" t="str">
        <v>高鈺盛</v>
      </c>
      <c r="AH62" s="23" t="str">
        <v>幹事</v>
      </c>
      <c r="AI62" s="23">
        <v>36251</v>
      </c>
    </row>
    <row r="63" spans="1:35" x14ac:dyDescent="0.4">
      <c r="AE63" s="23" t="str">
        <v>C017</v>
      </c>
      <c r="AF63" s="23" t="str">
        <v>作業組</v>
      </c>
      <c r="AG63" s="23" t="str">
        <v>張書元</v>
      </c>
      <c r="AH63" s="23" t="str">
        <v>幹事</v>
      </c>
      <c r="AI63" s="23">
        <v>36281</v>
      </c>
    </row>
    <row r="64" spans="1:35" x14ac:dyDescent="0.4">
      <c r="AE64" s="23" t="str">
        <v>C018</v>
      </c>
      <c r="AF64" s="23" t="str">
        <v>作業組</v>
      </c>
      <c r="AG64" s="23" t="str">
        <v>黃致遠</v>
      </c>
      <c r="AH64" s="23" t="str">
        <v>幹事</v>
      </c>
      <c r="AI64" s="23">
        <v>36312</v>
      </c>
    </row>
    <row r="65" spans="31:35" x14ac:dyDescent="0.4">
      <c r="AE65" s="23" t="str">
        <v>C019</v>
      </c>
      <c r="AF65" s="23" t="str">
        <v>作業組</v>
      </c>
      <c r="AG65" s="23" t="str">
        <v>林子南</v>
      </c>
      <c r="AH65" s="23" t="str">
        <v>幹事</v>
      </c>
      <c r="AI65" s="23">
        <v>36342</v>
      </c>
    </row>
    <row r="66" spans="31:35" x14ac:dyDescent="0.4">
      <c r="AE66" s="23" t="str">
        <v>C020</v>
      </c>
      <c r="AF66" s="23" t="str">
        <v>作業組</v>
      </c>
      <c r="AG66" s="23" t="str">
        <v>李  杰</v>
      </c>
      <c r="AH66" s="23" t="str">
        <v>全職工讀生</v>
      </c>
      <c r="AI66" s="23">
        <v>36373</v>
      </c>
    </row>
    <row r="67" spans="31:35" x14ac:dyDescent="0.4">
      <c r="AE67" s="23" t="str">
        <v>D021</v>
      </c>
      <c r="AF67" s="23" t="str">
        <v>網路組</v>
      </c>
      <c r="AG67" s="23" t="str">
        <v>謝宏昀</v>
      </c>
      <c r="AH67" s="23" t="str">
        <v>組長</v>
      </c>
      <c r="AI67" s="23">
        <v>36404</v>
      </c>
    </row>
    <row r="68" spans="31:35" x14ac:dyDescent="0.4">
      <c r="AE68" s="23" t="str">
        <v>D022</v>
      </c>
      <c r="AF68" s="23" t="str">
        <v>網路組</v>
      </c>
      <c r="AG68" s="23" t="str">
        <v>邵喻美</v>
      </c>
      <c r="AH68" s="23" t="str">
        <v>程式設計師</v>
      </c>
      <c r="AI68" s="23">
        <v>36434</v>
      </c>
    </row>
    <row r="69" spans="31:35" x14ac:dyDescent="0.4">
      <c r="AE69" s="23" t="str">
        <v>D023</v>
      </c>
      <c r="AF69" s="23" t="str">
        <v>網路組</v>
      </c>
      <c r="AG69" s="23" t="str">
        <v>李美雯</v>
      </c>
      <c r="AH69" s="23" t="str">
        <v>程式設計師</v>
      </c>
      <c r="AI69" s="23">
        <v>36465</v>
      </c>
    </row>
    <row r="70" spans="31:35" x14ac:dyDescent="0.4">
      <c r="AE70" s="23" t="str">
        <v>D024</v>
      </c>
      <c r="AF70" s="23" t="str">
        <v>網路組</v>
      </c>
      <c r="AG70" s="23" t="str">
        <v>曾保彰</v>
      </c>
      <c r="AH70" s="23" t="str">
        <v>技正</v>
      </c>
      <c r="AI70" s="23">
        <v>36495</v>
      </c>
    </row>
    <row r="71" spans="31:35" x14ac:dyDescent="0.4">
      <c r="AE71" s="23" t="str">
        <v>D025</v>
      </c>
      <c r="AF71" s="23" t="str">
        <v>網路組</v>
      </c>
      <c r="AG71" s="23" t="str">
        <v>游子興</v>
      </c>
      <c r="AH71" s="23" t="str">
        <v>副理</v>
      </c>
      <c r="AI71" s="23">
        <v>36526</v>
      </c>
    </row>
    <row r="72" spans="31:35" x14ac:dyDescent="0.4">
      <c r="AE72" s="23" t="str">
        <v>D026</v>
      </c>
      <c r="AF72" s="23" t="str">
        <v>網路組</v>
      </c>
      <c r="AG72" s="23" t="str">
        <v>李墨軒</v>
      </c>
      <c r="AH72" s="23" t="str">
        <v>幹事</v>
      </c>
      <c r="AI72" s="23">
        <v>36557</v>
      </c>
    </row>
    <row r="73" spans="31:35" x14ac:dyDescent="0.4">
      <c r="AE73" s="23" t="str">
        <v>D027</v>
      </c>
      <c r="AF73" s="23" t="str">
        <v>網路組</v>
      </c>
      <c r="AG73" s="23" t="str">
        <v>許家瑜</v>
      </c>
      <c r="AH73" s="23" t="str">
        <v>研究助理</v>
      </c>
      <c r="AI73" s="23">
        <v>36586</v>
      </c>
    </row>
    <row r="74" spans="31:35" x14ac:dyDescent="0.4">
      <c r="AE74" s="23" t="str">
        <v>D028</v>
      </c>
      <c r="AF74" s="23" t="str">
        <v>網路組</v>
      </c>
      <c r="AG74" s="23" t="str">
        <v>江培文</v>
      </c>
      <c r="AH74" s="23" t="str">
        <v>研究助理</v>
      </c>
      <c r="AI74" s="23">
        <v>36617</v>
      </c>
    </row>
    <row r="75" spans="31:35" x14ac:dyDescent="0.4">
      <c r="AE75" s="23" t="str">
        <v>D029</v>
      </c>
      <c r="AF75" s="23" t="str">
        <v>網路組</v>
      </c>
      <c r="AG75" s="23" t="str">
        <v>童鵬哲</v>
      </c>
      <c r="AH75" s="23" t="str">
        <v>計畫研究專員</v>
      </c>
      <c r="AI75" s="23">
        <v>36647</v>
      </c>
    </row>
    <row r="76" spans="31:35" x14ac:dyDescent="0.4">
      <c r="AE76" s="23" t="str">
        <v>D030</v>
      </c>
      <c r="AF76" s="23" t="str">
        <v>網路組</v>
      </c>
      <c r="AG76" s="23" t="str">
        <v>林盈蓁</v>
      </c>
      <c r="AH76" s="23" t="str">
        <v>技工</v>
      </c>
      <c r="AI76" s="23">
        <v>36678</v>
      </c>
    </row>
    <row r="77" spans="31:35" x14ac:dyDescent="0.4">
      <c r="AE77" s="23" t="str">
        <v>D031</v>
      </c>
      <c r="AF77" s="23" t="str">
        <v>網路組</v>
      </c>
      <c r="AG77" s="23" t="str">
        <v>游麗華</v>
      </c>
      <c r="AH77" s="23" t="str">
        <v>技工</v>
      </c>
      <c r="AI77" s="23">
        <v>36708</v>
      </c>
    </row>
    <row r="78" spans="31:35" x14ac:dyDescent="0.4">
      <c r="AE78" s="23" t="str">
        <v>D032</v>
      </c>
      <c r="AF78" s="23" t="str">
        <v>網路組</v>
      </c>
      <c r="AG78" s="23" t="str">
        <v>林佳慧</v>
      </c>
      <c r="AH78" s="23" t="str">
        <v>技工</v>
      </c>
      <c r="AI78" s="23">
        <v>36739</v>
      </c>
    </row>
    <row r="79" spans="31:35" x14ac:dyDescent="0.4">
      <c r="AE79" s="23" t="str">
        <v>E033</v>
      </c>
      <c r="AF79" s="23" t="str">
        <v>程式組</v>
      </c>
      <c r="AG79" s="23" t="str">
        <v>鄭卜壬</v>
      </c>
      <c r="AH79" s="23" t="str">
        <v>組長</v>
      </c>
      <c r="AI79" s="23">
        <v>36770</v>
      </c>
    </row>
    <row r="80" spans="31:35" x14ac:dyDescent="0.4">
      <c r="AE80" s="23" t="str">
        <v>E034</v>
      </c>
      <c r="AF80" s="23" t="str">
        <v>程式組</v>
      </c>
      <c r="AG80" s="23" t="str">
        <v>陳啟煌</v>
      </c>
      <c r="AH80" s="23" t="str">
        <v>程式設計師</v>
      </c>
      <c r="AI80" s="23">
        <v>36800</v>
      </c>
    </row>
    <row r="81" spans="31:35" x14ac:dyDescent="0.4">
      <c r="AE81" s="23" t="str">
        <v>E035</v>
      </c>
      <c r="AF81" s="23" t="str">
        <v>程式組</v>
      </c>
      <c r="AG81" s="23" t="str">
        <v>傅潔瑩</v>
      </c>
      <c r="AH81" s="23" t="str">
        <v>幹事</v>
      </c>
      <c r="AI81" s="23">
        <v>36831</v>
      </c>
    </row>
    <row r="82" spans="31:35" x14ac:dyDescent="0.4">
      <c r="AE82" s="23" t="str">
        <v>E036</v>
      </c>
      <c r="AF82" s="23" t="str">
        <v>程式組</v>
      </c>
      <c r="AG82" s="23" t="str">
        <v>曹桂漪</v>
      </c>
      <c r="AH82" s="23" t="str">
        <v>幹事</v>
      </c>
      <c r="AI82" s="23">
        <v>36861</v>
      </c>
    </row>
    <row r="83" spans="31:35" x14ac:dyDescent="0.4">
      <c r="AE83" s="23" t="str">
        <v>E037</v>
      </c>
      <c r="AF83" s="23" t="str">
        <v>程式組</v>
      </c>
      <c r="AG83" s="23">
        <v>0</v>
      </c>
      <c r="AH83" s="23">
        <v>0</v>
      </c>
      <c r="AI83" s="23">
        <v>36892</v>
      </c>
    </row>
    <row r="84" spans="31:35" x14ac:dyDescent="0.4">
      <c r="AE84" s="23" t="str">
        <v>E038</v>
      </c>
      <c r="AF84" s="23" t="str">
        <v>程式組</v>
      </c>
      <c r="AG84" s="23" t="str">
        <v>鄧永清</v>
      </c>
      <c r="AH84" s="23" t="str">
        <v>技士</v>
      </c>
      <c r="AI84" s="23">
        <v>36923</v>
      </c>
    </row>
    <row r="85" spans="31:35" x14ac:dyDescent="0.4">
      <c r="AE85" s="23" t="str">
        <v>E039</v>
      </c>
      <c r="AF85" s="23" t="str">
        <v>程式組</v>
      </c>
      <c r="AG85" s="23">
        <v>0</v>
      </c>
      <c r="AH85" s="23">
        <v>0</v>
      </c>
      <c r="AI85" s="23">
        <v>36951</v>
      </c>
    </row>
    <row r="86" spans="31:35" x14ac:dyDescent="0.4">
      <c r="AE86" s="23" t="str">
        <v>E040</v>
      </c>
      <c r="AF86" s="23" t="str">
        <v>程式組</v>
      </c>
      <c r="AG86" s="23" t="str">
        <v>洪嘉駿</v>
      </c>
      <c r="AH86" s="23" t="str">
        <v>幹事</v>
      </c>
      <c r="AI86" s="23">
        <v>36982</v>
      </c>
    </row>
    <row r="87" spans="31:35" x14ac:dyDescent="0.4">
      <c r="AE87" s="23" t="str">
        <v>E041</v>
      </c>
      <c r="AF87" s="23" t="str">
        <v>程式組</v>
      </c>
      <c r="AG87" s="23" t="str">
        <v>黃玫瑋</v>
      </c>
      <c r="AH87" s="23" t="str">
        <v>副理</v>
      </c>
      <c r="AI87" s="23">
        <v>37012</v>
      </c>
    </row>
    <row r="88" spans="31:35" x14ac:dyDescent="0.4">
      <c r="AE88" s="23" t="str">
        <v>E042</v>
      </c>
      <c r="AF88" s="23" t="str">
        <v>程式組</v>
      </c>
      <c r="AG88" s="23" t="str">
        <v>沈宜儒</v>
      </c>
      <c r="AH88" s="23" t="str">
        <v>幹事</v>
      </c>
      <c r="AI88" s="23">
        <v>37043</v>
      </c>
    </row>
    <row r="89" spans="31:35" x14ac:dyDescent="0.4">
      <c r="AE89" s="23" t="str">
        <v>E043</v>
      </c>
      <c r="AF89" s="23" t="str">
        <v>程式組</v>
      </c>
      <c r="AG89" s="23" t="str">
        <v>陳雨廷</v>
      </c>
      <c r="AH89" s="23" t="str">
        <v>幹事</v>
      </c>
      <c r="AI89" s="23">
        <v>37073</v>
      </c>
    </row>
    <row r="90" spans="31:35" x14ac:dyDescent="0.4">
      <c r="AE90" s="23" t="str">
        <v>E044</v>
      </c>
      <c r="AF90" s="23" t="str">
        <v>程式組</v>
      </c>
      <c r="AG90" s="23" t="str">
        <v>鄭彥宏</v>
      </c>
      <c r="AH90" s="23" t="str">
        <v>幹事</v>
      </c>
      <c r="AI90" s="23">
        <v>37104</v>
      </c>
    </row>
    <row r="91" spans="31:35" x14ac:dyDescent="0.4">
      <c r="AE91" s="23" t="str">
        <v>E045</v>
      </c>
      <c r="AF91" s="23" t="str">
        <v>程式組</v>
      </c>
      <c r="AG91" s="23" t="str">
        <v>陳怡如</v>
      </c>
      <c r="AH91" s="23" t="str">
        <v>幹事</v>
      </c>
      <c r="AI91" s="23">
        <v>37135</v>
      </c>
    </row>
    <row r="92" spans="31:35" x14ac:dyDescent="0.4">
      <c r="AE92" s="23" t="str">
        <v>E046</v>
      </c>
      <c r="AF92" s="23" t="str">
        <v>程式組</v>
      </c>
      <c r="AG92" s="23" t="str">
        <v>陳淑萍</v>
      </c>
      <c r="AH92" s="23" t="str">
        <v>幹事</v>
      </c>
      <c r="AI92" s="23">
        <v>37165</v>
      </c>
    </row>
    <row r="93" spans="31:35" x14ac:dyDescent="0.4">
      <c r="AE93" s="23" t="str">
        <v>E047</v>
      </c>
      <c r="AF93" s="23" t="str">
        <v>程式組</v>
      </c>
      <c r="AG93" s="23" t="str">
        <v>張如媚</v>
      </c>
      <c r="AH93" s="23" t="str">
        <v>幹事</v>
      </c>
      <c r="AI93" s="23">
        <v>37196</v>
      </c>
    </row>
    <row r="94" spans="31:35" x14ac:dyDescent="0.4">
      <c r="AE94" s="23" t="str">
        <v>E048</v>
      </c>
      <c r="AF94" s="23" t="str">
        <v>程式組</v>
      </c>
      <c r="AG94" s="23">
        <v>0</v>
      </c>
      <c r="AH94" s="23" t="str">
        <v>幹事</v>
      </c>
      <c r="AI94" s="23">
        <v>37226</v>
      </c>
    </row>
    <row r="95" spans="31:35" x14ac:dyDescent="0.4">
      <c r="AE95" s="23" t="str">
        <v>E049</v>
      </c>
      <c r="AF95" s="23" t="str">
        <v>程式組</v>
      </c>
      <c r="AG95" s="23" t="str">
        <v>葉崇志</v>
      </c>
      <c r="AH95" s="23" t="str">
        <v>幹事</v>
      </c>
      <c r="AI95" s="23">
        <v>37257</v>
      </c>
    </row>
    <row r="96" spans="31:35" x14ac:dyDescent="0.4">
      <c r="AE96" s="23" t="str">
        <v>E050</v>
      </c>
      <c r="AF96" s="23" t="str">
        <v>程式組</v>
      </c>
      <c r="AG96" s="23" t="str">
        <v>楊家榮</v>
      </c>
      <c r="AH96" s="23" t="str">
        <v>幹事</v>
      </c>
      <c r="AI96" s="23">
        <v>37288</v>
      </c>
    </row>
    <row r="97" spans="31:35" x14ac:dyDescent="0.4">
      <c r="AE97" s="23" t="str">
        <v>E051</v>
      </c>
      <c r="AF97" s="23" t="str">
        <v>程式組</v>
      </c>
      <c r="AG97" s="23" t="str">
        <v>陳俊佑</v>
      </c>
      <c r="AH97" s="23" t="str">
        <v>幹事</v>
      </c>
      <c r="AI97" s="23">
        <v>37316</v>
      </c>
    </row>
    <row r="98" spans="31:35" x14ac:dyDescent="0.4">
      <c r="AE98" s="23" t="str">
        <v>E052</v>
      </c>
      <c r="AF98" s="23" t="str">
        <v>程式組</v>
      </c>
      <c r="AG98" s="23" t="str">
        <v>陳永樵</v>
      </c>
      <c r="AH98" s="23" t="str">
        <v>系統分析設計師</v>
      </c>
      <c r="AI98" s="23">
        <v>37347</v>
      </c>
    </row>
    <row r="99" spans="31:35" x14ac:dyDescent="0.4">
      <c r="AE99" s="23" t="str">
        <v>E053</v>
      </c>
      <c r="AF99" s="23" t="str">
        <v>程式組</v>
      </c>
      <c r="AG99" s="23" t="str">
        <v>唐瑤瑤</v>
      </c>
      <c r="AH99" s="23" t="str">
        <v>程式設計師</v>
      </c>
      <c r="AI99" s="23">
        <v>37377</v>
      </c>
    </row>
  </sheetData>
  <phoneticPr fontId="14" type="noConversion"/>
  <conditionalFormatting sqref="C1:D10 K1 F1:I10 J2:K10">
    <cfRule type="expression" dxfId="504" priority="137">
      <formula>#REF!="程式組"</formula>
    </cfRule>
    <cfRule type="expression" dxfId="503" priority="138">
      <formula>#REF!="網路組"</formula>
    </cfRule>
  </conditionalFormatting>
  <conditionalFormatting sqref="C1:D21 K1 F1:I21 J2:K21">
    <cfRule type="expression" dxfId="502" priority="139">
      <formula>#REF!="作業組"</formula>
    </cfRule>
    <cfRule type="expression" dxfId="501" priority="140">
      <formula>#REF!="教學組"</formula>
    </cfRule>
    <cfRule type="expression" dxfId="500" priority="141">
      <formula>#REF!="行政室"</formula>
    </cfRule>
  </conditionalFormatting>
  <conditionalFormatting sqref="C11:D21 F11:K21">
    <cfRule type="expression" dxfId="499" priority="142">
      <formula>#REF!="程式組"</formula>
    </cfRule>
    <cfRule type="expression" dxfId="498" priority="143">
      <formula>#REF!="網路組"</formula>
    </cfRule>
  </conditionalFormatting>
  <conditionalFormatting sqref="I55:J65522 I1:I54 J2:J54">
    <cfRule type="cellIs" dxfId="497" priority="136" stopIfTrue="1" operator="notEqual">
      <formula>#REF!</formula>
    </cfRule>
  </conditionalFormatting>
  <conditionalFormatting sqref="O1 K55:L58 K1:L1 F1:I54 J2:L54 F59:L1048576 C1:E1048576">
    <cfRule type="expression" dxfId="496" priority="131">
      <formula>$A1="程式組"</formula>
    </cfRule>
    <cfRule type="expression" dxfId="495" priority="132">
      <formula>$A1="網路組"</formula>
    </cfRule>
    <cfRule type="expression" dxfId="494" priority="133">
      <formula>$A1="作業組"</formula>
    </cfRule>
    <cfRule type="expression" dxfId="493" priority="134">
      <formula>$A1="教學組"</formula>
    </cfRule>
    <cfRule type="expression" dxfId="492" priority="135">
      <formula>$A1="行政室"</formula>
    </cfRule>
  </conditionalFormatting>
  <conditionalFormatting sqref="O1">
    <cfRule type="cellIs" dxfId="491" priority="125" stopIfTrue="1" operator="notEqual">
      <formula>#REF!</formula>
    </cfRule>
    <cfRule type="expression" dxfId="490" priority="126">
      <formula>#REF!="程式組"</formula>
    </cfRule>
    <cfRule type="expression" dxfId="489" priority="127">
      <formula>#REF!="網路組"</formula>
    </cfRule>
    <cfRule type="expression" dxfId="488" priority="128">
      <formula>#REF!="作業組"</formula>
    </cfRule>
    <cfRule type="expression" dxfId="487" priority="129">
      <formula>#REF!="教學組"</formula>
    </cfRule>
    <cfRule type="expression" dxfId="486" priority="130">
      <formula>#REF!="行政室"</formula>
    </cfRule>
  </conditionalFormatting>
  <conditionalFormatting sqref="O1">
    <cfRule type="expression" dxfId="485" priority="120">
      <formula>#REF!="程式組"</formula>
    </cfRule>
    <cfRule type="expression" dxfId="484" priority="121">
      <formula>#REF!="網路組"</formula>
    </cfRule>
    <cfRule type="expression" dxfId="483" priority="122">
      <formula>#REF!="作業組"</formula>
    </cfRule>
    <cfRule type="expression" dxfId="482" priority="123">
      <formula>#REF!="教學組"</formula>
    </cfRule>
    <cfRule type="expression" dxfId="481" priority="124">
      <formula>#REF!="行政室"</formula>
    </cfRule>
  </conditionalFormatting>
  <conditionalFormatting sqref="X6:AH6">
    <cfRule type="cellIs" dxfId="480" priority="107" stopIfTrue="1" operator="notEqual">
      <formula>#REF!</formula>
    </cfRule>
    <cfRule type="expression" dxfId="479" priority="108">
      <formula>#REF!="程式組"</formula>
    </cfRule>
    <cfRule type="expression" dxfId="478" priority="109">
      <formula>#REF!="網路組"</formula>
    </cfRule>
    <cfRule type="expression" dxfId="477" priority="110">
      <formula>#REF!="作業組"</formula>
    </cfRule>
    <cfRule type="expression" dxfId="476" priority="111">
      <formula>#REF!="教學組"</formula>
    </cfRule>
    <cfRule type="expression" dxfId="475" priority="112">
      <formula>#REF!="行政室"</formula>
    </cfRule>
    <cfRule type="expression" dxfId="474" priority="113">
      <formula>#REF!="程式組"</formula>
    </cfRule>
    <cfRule type="expression" dxfId="473" priority="114">
      <formula>#REF!="網路組"</formula>
    </cfRule>
    <cfRule type="expression" dxfId="472" priority="115">
      <formula>$A12="程式組"</formula>
    </cfRule>
    <cfRule type="expression" dxfId="471" priority="116">
      <formula>$A12="網路組"</formula>
    </cfRule>
    <cfRule type="expression" dxfId="470" priority="117">
      <formula>$A12="作業組"</formula>
    </cfRule>
    <cfRule type="expression" dxfId="469" priority="118">
      <formula>$A12="教學組"</formula>
    </cfRule>
    <cfRule type="expression" dxfId="468" priority="119">
      <formula>$A12="行政室"</formula>
    </cfRule>
  </conditionalFormatting>
  <conditionalFormatting sqref="Y1">
    <cfRule type="cellIs" dxfId="467" priority="94" stopIfTrue="1" operator="notEqual">
      <formula>#REF!</formula>
    </cfRule>
    <cfRule type="expression" dxfId="466" priority="95">
      <formula>#REF!="程式組"</formula>
    </cfRule>
    <cfRule type="expression" dxfId="465" priority="96">
      <formula>#REF!="網路組"</formula>
    </cfRule>
    <cfRule type="expression" dxfId="464" priority="97">
      <formula>#REF!="作業組"</formula>
    </cfRule>
    <cfRule type="expression" dxfId="463" priority="98">
      <formula>#REF!="教學組"</formula>
    </cfRule>
    <cfRule type="expression" dxfId="462" priority="99">
      <formula>#REF!="行政室"</formula>
    </cfRule>
    <cfRule type="expression" dxfId="461" priority="100">
      <formula>#REF!="程式組"</formula>
    </cfRule>
    <cfRule type="expression" dxfId="460" priority="101">
      <formula>#REF!="網路組"</formula>
    </cfRule>
    <cfRule type="expression" dxfId="459" priority="102">
      <formula>$A9="程式組"</formula>
    </cfRule>
    <cfRule type="expression" dxfId="458" priority="103">
      <formula>$A9="網路組"</formula>
    </cfRule>
    <cfRule type="expression" dxfId="457" priority="104">
      <formula>$A9="作業組"</formula>
    </cfRule>
    <cfRule type="expression" dxfId="456" priority="105">
      <formula>$A9="教學組"</formula>
    </cfRule>
    <cfRule type="expression" dxfId="455" priority="106">
      <formula>$A9="行政室"</formula>
    </cfRule>
  </conditionalFormatting>
  <conditionalFormatting sqref="E1:E10">
    <cfRule type="expression" dxfId="454" priority="87">
      <formula>#REF!="程式組"</formula>
    </cfRule>
    <cfRule type="expression" dxfId="453" priority="88">
      <formula>#REF!="網路組"</formula>
    </cfRule>
  </conditionalFormatting>
  <conditionalFormatting sqref="E1:E21">
    <cfRule type="expression" dxfId="452" priority="89">
      <formula>#REF!="作業組"</formula>
    </cfRule>
    <cfRule type="expression" dxfId="451" priority="90">
      <formula>#REF!="教學組"</formula>
    </cfRule>
    <cfRule type="expression" dxfId="450" priority="91">
      <formula>#REF!="行政室"</formula>
    </cfRule>
  </conditionalFormatting>
  <conditionalFormatting sqref="E11:E21">
    <cfRule type="expression" dxfId="449" priority="92">
      <formula>#REF!="程式組"</formula>
    </cfRule>
    <cfRule type="expression" dxfId="448" priority="93">
      <formula>#REF!="網路組"</formula>
    </cfRule>
  </conditionalFormatting>
  <conditionalFormatting sqref="E35">
    <cfRule type="expression" dxfId="447" priority="82">
      <formula>#REF!="作業組"</formula>
    </cfRule>
    <cfRule type="expression" dxfId="446" priority="83">
      <formula>#REF!="教學組"</formula>
    </cfRule>
    <cfRule type="expression" dxfId="445" priority="84">
      <formula>#REF!="行政室"</formula>
    </cfRule>
  </conditionalFormatting>
  <conditionalFormatting sqref="E35">
    <cfRule type="expression" dxfId="444" priority="85">
      <formula>#REF!="程式組"</formula>
    </cfRule>
    <cfRule type="expression" dxfId="443" priority="86">
      <formula>#REF!="網路組"</formula>
    </cfRule>
  </conditionalFormatting>
  <conditionalFormatting sqref="Q1">
    <cfRule type="expression" dxfId="442" priority="77">
      <formula>$A1="程式組"</formula>
    </cfRule>
    <cfRule type="expression" dxfId="441" priority="78">
      <formula>$A1="網路組"</formula>
    </cfRule>
    <cfRule type="expression" dxfId="440" priority="79">
      <formula>$A1="作業組"</formula>
    </cfRule>
    <cfRule type="expression" dxfId="439" priority="80">
      <formula>$A1="教學組"</formula>
    </cfRule>
    <cfRule type="expression" dxfId="438" priority="81">
      <formula>$A1="行政室"</formula>
    </cfRule>
  </conditionalFormatting>
  <conditionalFormatting sqref="Q1">
    <cfRule type="cellIs" dxfId="437" priority="71" stopIfTrue="1" operator="notEqual">
      <formula>#REF!</formula>
    </cfRule>
    <cfRule type="expression" dxfId="436" priority="72">
      <formula>#REF!="程式組"</formula>
    </cfRule>
    <cfRule type="expression" dxfId="435" priority="73">
      <formula>#REF!="網路組"</formula>
    </cfRule>
    <cfRule type="expression" dxfId="434" priority="74">
      <formula>#REF!="作業組"</formula>
    </cfRule>
    <cfRule type="expression" dxfId="433" priority="75">
      <formula>#REF!="教學組"</formula>
    </cfRule>
    <cfRule type="expression" dxfId="432" priority="76">
      <formula>#REF!="行政室"</formula>
    </cfRule>
  </conditionalFormatting>
  <conditionalFormatting sqref="Q1">
    <cfRule type="expression" dxfId="431" priority="66">
      <formula>#REF!="程式組"</formula>
    </cfRule>
    <cfRule type="expression" dxfId="430" priority="67">
      <formula>#REF!="網路組"</formula>
    </cfRule>
    <cfRule type="expression" dxfId="429" priority="68">
      <formula>#REF!="作業組"</formula>
    </cfRule>
    <cfRule type="expression" dxfId="428" priority="69">
      <formula>#REF!="教學組"</formula>
    </cfRule>
    <cfRule type="expression" dxfId="427" priority="70">
      <formula>#REF!="行政室"</formula>
    </cfRule>
  </conditionalFormatting>
  <conditionalFormatting sqref="AF1">
    <cfRule type="cellIs" dxfId="426" priority="53" stopIfTrue="1" operator="notEqual">
      <formula>#REF!</formula>
    </cfRule>
    <cfRule type="expression" dxfId="425" priority="54">
      <formula>#REF!="程式組"</formula>
    </cfRule>
    <cfRule type="expression" dxfId="424" priority="55">
      <formula>#REF!="網路組"</formula>
    </cfRule>
    <cfRule type="expression" dxfId="423" priority="56">
      <formula>#REF!="作業組"</formula>
    </cfRule>
    <cfRule type="expression" dxfId="422" priority="57">
      <formula>#REF!="教學組"</formula>
    </cfRule>
    <cfRule type="expression" dxfId="421" priority="58">
      <formula>#REF!="行政室"</formula>
    </cfRule>
    <cfRule type="expression" dxfId="420" priority="59">
      <formula>#REF!="程式組"</formula>
    </cfRule>
    <cfRule type="expression" dxfId="419" priority="60">
      <formula>#REF!="網路組"</formula>
    </cfRule>
    <cfRule type="expression" dxfId="418" priority="61">
      <formula>$A9="程式組"</formula>
    </cfRule>
    <cfRule type="expression" dxfId="417" priority="62">
      <formula>$A9="網路組"</formula>
    </cfRule>
    <cfRule type="expression" dxfId="416" priority="63">
      <formula>$A9="作業組"</formula>
    </cfRule>
    <cfRule type="expression" dxfId="415" priority="64">
      <formula>$A9="教學組"</formula>
    </cfRule>
    <cfRule type="expression" dxfId="414" priority="65">
      <formula>$A9="行政室"</formula>
    </cfRule>
  </conditionalFormatting>
  <conditionalFormatting sqref="X15:AH15">
    <cfRule type="cellIs" dxfId="413" priority="40" stopIfTrue="1" operator="notEqual">
      <formula>#REF!</formula>
    </cfRule>
    <cfRule type="expression" dxfId="412" priority="41">
      <formula>#REF!="程式組"</formula>
    </cfRule>
    <cfRule type="expression" dxfId="411" priority="42">
      <formula>#REF!="網路組"</formula>
    </cfRule>
    <cfRule type="expression" dxfId="410" priority="43">
      <formula>#REF!="作業組"</formula>
    </cfRule>
    <cfRule type="expression" dxfId="409" priority="44">
      <formula>#REF!="教學組"</formula>
    </cfRule>
    <cfRule type="expression" dxfId="408" priority="45">
      <formula>#REF!="行政室"</formula>
    </cfRule>
    <cfRule type="expression" dxfId="407" priority="46">
      <formula>#REF!="程式組"</formula>
    </cfRule>
    <cfRule type="expression" dxfId="406" priority="47">
      <formula>#REF!="網路組"</formula>
    </cfRule>
    <cfRule type="expression" dxfId="405" priority="48">
      <formula>$A23="程式組"</formula>
    </cfRule>
    <cfRule type="expression" dxfId="404" priority="49">
      <formula>$A23="網路組"</formula>
    </cfRule>
    <cfRule type="expression" dxfId="403" priority="50">
      <formula>$A23="作業組"</formula>
    </cfRule>
    <cfRule type="expression" dxfId="402" priority="51">
      <formula>$A23="教學組"</formula>
    </cfRule>
    <cfRule type="expression" dxfId="401" priority="52">
      <formula>$A23="行政室"</formula>
    </cfRule>
  </conditionalFormatting>
  <conditionalFormatting sqref="X13">
    <cfRule type="cellIs" dxfId="400" priority="27" stopIfTrue="1" operator="notEqual">
      <formula>#REF!</formula>
    </cfRule>
    <cfRule type="expression" dxfId="399" priority="28">
      <formula>#REF!="程式組"</formula>
    </cfRule>
    <cfRule type="expression" dxfId="398" priority="29">
      <formula>#REF!="網路組"</formula>
    </cfRule>
    <cfRule type="expression" dxfId="397" priority="30">
      <formula>#REF!="作業組"</formula>
    </cfRule>
    <cfRule type="expression" dxfId="396" priority="31">
      <formula>#REF!="教學組"</formula>
    </cfRule>
    <cfRule type="expression" dxfId="395" priority="32">
      <formula>#REF!="行政室"</formula>
    </cfRule>
    <cfRule type="expression" dxfId="394" priority="33">
      <formula>#REF!="程式組"</formula>
    </cfRule>
    <cfRule type="expression" dxfId="393" priority="34">
      <formula>#REF!="網路組"</formula>
    </cfRule>
    <cfRule type="expression" dxfId="392" priority="35">
      <formula>$A20="程式組"</formula>
    </cfRule>
    <cfRule type="expression" dxfId="391" priority="36">
      <formula>$A20="網路組"</formula>
    </cfRule>
    <cfRule type="expression" dxfId="390" priority="37">
      <formula>$A20="作業組"</formula>
    </cfRule>
    <cfRule type="expression" dxfId="389" priority="38">
      <formula>$A20="教學組"</formula>
    </cfRule>
    <cfRule type="expression" dxfId="388" priority="39">
      <formula>$A20="行政室"</formula>
    </cfRule>
  </conditionalFormatting>
  <conditionalFormatting sqref="X28:AH28">
    <cfRule type="cellIs" dxfId="387" priority="14" stopIfTrue="1" operator="notEqual">
      <formula>#REF!</formula>
    </cfRule>
    <cfRule type="expression" dxfId="386" priority="15">
      <formula>#REF!="程式組"</formula>
    </cfRule>
    <cfRule type="expression" dxfId="385" priority="16">
      <formula>#REF!="網路組"</formula>
    </cfRule>
    <cfRule type="expression" dxfId="384" priority="17">
      <formula>#REF!="作業組"</formula>
    </cfRule>
    <cfRule type="expression" dxfId="383" priority="18">
      <formula>#REF!="教學組"</formula>
    </cfRule>
    <cfRule type="expression" dxfId="382" priority="19">
      <formula>#REF!="行政室"</formula>
    </cfRule>
    <cfRule type="expression" dxfId="381" priority="20">
      <formula>#REF!="程式組"</formula>
    </cfRule>
    <cfRule type="expression" dxfId="380" priority="21">
      <formula>#REF!="網路組"</formula>
    </cfRule>
    <cfRule type="expression" dxfId="379" priority="22">
      <formula>$A33="程式組"</formula>
    </cfRule>
    <cfRule type="expression" dxfId="378" priority="23">
      <formula>$A33="網路組"</formula>
    </cfRule>
    <cfRule type="expression" dxfId="377" priority="24">
      <formula>$A33="作業組"</formula>
    </cfRule>
    <cfRule type="expression" dxfId="376" priority="25">
      <formula>$A33="教學組"</formula>
    </cfRule>
    <cfRule type="expression" dxfId="375" priority="26">
      <formula>$A33="行政室"</formula>
    </cfRule>
  </conditionalFormatting>
  <conditionalFormatting sqref="X31:AC31">
    <cfRule type="cellIs" dxfId="374" priority="144" stopIfTrue="1" operator="notEqual">
      <formula>#REF!</formula>
    </cfRule>
    <cfRule type="expression" dxfId="373" priority="145">
      <formula>#REF!="程式組"</formula>
    </cfRule>
    <cfRule type="expression" dxfId="372" priority="146">
      <formula>#REF!="網路組"</formula>
    </cfRule>
    <cfRule type="expression" dxfId="371" priority="147">
      <formula>#REF!="作業組"</formula>
    </cfRule>
    <cfRule type="expression" dxfId="370" priority="148">
      <formula>#REF!="教學組"</formula>
    </cfRule>
    <cfRule type="expression" dxfId="369" priority="149">
      <formula>#REF!="行政室"</formula>
    </cfRule>
    <cfRule type="expression" dxfId="368" priority="150">
      <formula>#REF!="程式組"</formula>
    </cfRule>
    <cfRule type="expression" dxfId="367" priority="151">
      <formula>#REF!="網路組"</formula>
    </cfRule>
    <cfRule type="expression" dxfId="366" priority="152">
      <formula>$A35="程式組"</formula>
    </cfRule>
    <cfRule type="expression" dxfId="365" priority="153">
      <formula>$A35="網路組"</formula>
    </cfRule>
    <cfRule type="expression" dxfId="364" priority="154">
      <formula>$A35="作業組"</formula>
    </cfRule>
    <cfRule type="expression" dxfId="363" priority="155">
      <formula>$A35="教學組"</formula>
    </cfRule>
    <cfRule type="expression" dxfId="362" priority="156">
      <formula>$A35="行政室"</formula>
    </cfRule>
  </conditionalFormatting>
  <conditionalFormatting sqref="X42">
    <cfRule type="cellIs" dxfId="361" priority="1" stopIfTrue="1" operator="notEqual">
      <formula>#REF!</formula>
    </cfRule>
    <cfRule type="expression" dxfId="360" priority="2">
      <formula>#REF!="程式組"</formula>
    </cfRule>
    <cfRule type="expression" dxfId="359" priority="3">
      <formula>#REF!="網路組"</formula>
    </cfRule>
    <cfRule type="expression" dxfId="358" priority="4">
      <formula>#REF!="作業組"</formula>
    </cfRule>
    <cfRule type="expression" dxfId="357" priority="5">
      <formula>#REF!="教學組"</formula>
    </cfRule>
    <cfRule type="expression" dxfId="356" priority="6">
      <formula>#REF!="行政室"</formula>
    </cfRule>
    <cfRule type="expression" dxfId="355" priority="7">
      <formula>#REF!="程式組"</formula>
    </cfRule>
    <cfRule type="expression" dxfId="354" priority="8">
      <formula>#REF!="網路組"</formula>
    </cfRule>
    <cfRule type="expression" dxfId="353" priority="9">
      <formula>$A44="程式組"</formula>
    </cfRule>
    <cfRule type="expression" dxfId="352" priority="10">
      <formula>$A44="網路組"</formula>
    </cfRule>
    <cfRule type="expression" dxfId="351" priority="11">
      <formula>$A44="作業組"</formula>
    </cfRule>
    <cfRule type="expression" dxfId="350" priority="12">
      <formula>$A44="教學組"</formula>
    </cfRule>
    <cfRule type="expression" dxfId="349" priority="13">
      <formula>$A44="行政室"</formula>
    </cfRule>
  </conditionalFormatting>
  <conditionalFormatting sqref="X41">
    <cfRule type="cellIs" dxfId="348" priority="157" stopIfTrue="1" operator="notEqual">
      <formula>#REF!</formula>
    </cfRule>
    <cfRule type="expression" dxfId="347" priority="158">
      <formula>#REF!="程式組"</formula>
    </cfRule>
    <cfRule type="expression" dxfId="346" priority="159">
      <formula>#REF!="網路組"</formula>
    </cfRule>
    <cfRule type="expression" dxfId="345" priority="160">
      <formula>#REF!="作業組"</formula>
    </cfRule>
    <cfRule type="expression" dxfId="344" priority="161">
      <formula>#REF!="教學組"</formula>
    </cfRule>
    <cfRule type="expression" dxfId="343" priority="162">
      <formula>#REF!="行政室"</formula>
    </cfRule>
    <cfRule type="expression" dxfId="342" priority="163">
      <formula>#REF!="程式組"</formula>
    </cfRule>
    <cfRule type="expression" dxfId="341" priority="164">
      <formula>#REF!="網路組"</formula>
    </cfRule>
    <cfRule type="expression" dxfId="340" priority="165">
      <formula>$A44="程式組"</formula>
    </cfRule>
    <cfRule type="expression" dxfId="339" priority="166">
      <formula>$A44="網路組"</formula>
    </cfRule>
    <cfRule type="expression" dxfId="338" priority="167">
      <formula>$A44="作業組"</formula>
    </cfRule>
    <cfRule type="expression" dxfId="337" priority="168">
      <formula>$A44="教學組"</formula>
    </cfRule>
    <cfRule type="expression" dxfId="336" priority="169">
      <formula>$A44="行政室"</formula>
    </cfRule>
  </conditionalFormatting>
  <conditionalFormatting sqref="X46:AB46">
    <cfRule type="cellIs" dxfId="335" priority="437" stopIfTrue="1" operator="notEqual">
      <formula>#REF!</formula>
    </cfRule>
    <cfRule type="expression" dxfId="334" priority="438">
      <formula>#REF!="程式組"</formula>
    </cfRule>
    <cfRule type="expression" dxfId="333" priority="439">
      <formula>#REF!="網路組"</formula>
    </cfRule>
    <cfRule type="expression" dxfId="332" priority="440">
      <formula>#REF!="作業組"</formula>
    </cfRule>
    <cfRule type="expression" dxfId="331" priority="441">
      <formula>#REF!="教學組"</formula>
    </cfRule>
    <cfRule type="expression" dxfId="330" priority="442">
      <formula>#REF!="行政室"</formula>
    </cfRule>
    <cfRule type="expression" dxfId="329" priority="443">
      <formula>#REF!="程式組"</formula>
    </cfRule>
    <cfRule type="expression" dxfId="328" priority="444">
      <formula>#REF!="網路組"</formula>
    </cfRule>
    <cfRule type="expression" dxfId="327" priority="445">
      <formula>$A45="程式組"</formula>
    </cfRule>
    <cfRule type="expression" dxfId="326" priority="446">
      <formula>$A45="網路組"</formula>
    </cfRule>
    <cfRule type="expression" dxfId="325" priority="447">
      <formula>$A45="作業組"</formula>
    </cfRule>
    <cfRule type="expression" dxfId="324" priority="448">
      <formula>$A45="教學組"</formula>
    </cfRule>
    <cfRule type="expression" dxfId="323" priority="449">
      <formula>$A45="行政室"</formula>
    </cfRule>
  </conditionalFormatting>
  <dataValidations count="3">
    <dataValidation type="list" allowBlank="1" showInputMessage="1" showErrorMessage="1" sqref="O2 Z7 Y2" xr:uid="{381FAB42-6980-4667-9208-96A30CF83B92}">
      <formula1>OFFSET(組別,1,0,COUNTA(組別)-1,1)</formula1>
    </dataValidation>
    <dataValidation type="list" allowBlank="1" showInputMessage="1" showErrorMessage="1" sqref="AC2 X2" xr:uid="{6278B67F-BC97-4B61-965A-2CE15BC3C3CD}">
      <formula1>OFFSET(月份,1,0,COUNTA(月份)-1,1)</formula1>
    </dataValidation>
    <dataValidation type="list" allowBlank="1" showInputMessage="1" showErrorMessage="1" sqref="AB2" xr:uid="{6CFCE581-EE99-48FB-A168-85E60CD956E1}">
      <formula1>$S:$S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5ED780-65A5-4B3D-8CBA-5AD405E95B13}">
          <x14:formula1>
            <xm:f>_xlfn.ANCHORARRAY(item!$B$2)</xm:f>
          </x14:formula1>
          <xm:sqref>AF2</xm:sqref>
        </x14:dataValidation>
        <x14:dataValidation type="list" allowBlank="1" showInputMessage="1" showErrorMessage="1" xr:uid="{3AE735CB-F28B-4E9A-892A-C6600909992B}">
          <x14:formula1>
            <xm:f>_xlfn.ANCHORARRAY(item!$E$2)</xm:f>
          </x14:formula1>
          <xm:sqref>AE2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F93D-F213-4E2E-B3DD-F52C10B679C1}">
  <sheetPr>
    <tabColor theme="7" tint="0.39997558519241921"/>
  </sheetPr>
  <dimension ref="A1:AF65"/>
  <sheetViews>
    <sheetView workbookViewId="0">
      <selection activeCell="V3" sqref="V3"/>
    </sheetView>
  </sheetViews>
  <sheetFormatPr defaultRowHeight="15.45" x14ac:dyDescent="0.4"/>
  <cols>
    <col min="1" max="1" width="5.6640625" style="100" customWidth="1"/>
    <col min="2" max="2" width="11.4140625" style="100" customWidth="1"/>
    <col min="3" max="3" width="9.4140625" style="23" customWidth="1"/>
    <col min="4" max="4" width="8.6640625" style="23"/>
    <col min="5" max="5" width="12.08203125" style="23" customWidth="1"/>
    <col min="6" max="6" width="7.5" style="100" hidden="1" customWidth="1"/>
    <col min="7" max="7" width="8.08203125" style="23" hidden="1" customWidth="1"/>
    <col min="8" max="8" width="7.6640625" style="100" hidden="1" customWidth="1"/>
    <col min="9" max="9" width="11.9140625" style="101" customWidth="1"/>
    <col min="10" max="10" width="6.83203125" style="166" customWidth="1"/>
    <col min="11" max="11" width="7.4140625" style="100" customWidth="1"/>
    <col min="12" max="12" width="6.4140625" style="23" customWidth="1"/>
    <col min="13" max="15" width="8.6640625" style="23"/>
    <col min="16" max="16" width="13.83203125" style="23" customWidth="1"/>
    <col min="17" max="17" width="9.9140625" style="23" customWidth="1"/>
    <col min="18" max="19" width="13.83203125" style="23" customWidth="1"/>
    <col min="20" max="20" width="21" style="23" customWidth="1"/>
    <col min="21" max="21" width="11.83203125" style="23" customWidth="1"/>
    <col min="22" max="22" width="11.33203125" style="23" customWidth="1"/>
    <col min="23" max="23" width="10.1640625" style="23" customWidth="1"/>
    <col min="24" max="24" width="8.6640625" style="23"/>
    <col min="25" max="25" width="12" style="23" customWidth="1"/>
    <col min="26" max="26" width="11.1640625" style="23" customWidth="1"/>
    <col min="27" max="27" width="9.83203125" style="23" bestFit="1" customWidth="1"/>
    <col min="28" max="28" width="10.6640625" style="23" customWidth="1"/>
    <col min="29" max="29" width="7.6640625" style="23" customWidth="1"/>
    <col min="30" max="30" width="10.5" style="23" customWidth="1"/>
    <col min="31" max="31" width="5.83203125" style="23" bestFit="1" customWidth="1"/>
    <col min="32" max="32" width="3.58203125" style="23" bestFit="1" customWidth="1"/>
    <col min="33" max="16384" width="8.6640625" style="23"/>
  </cols>
  <sheetData>
    <row r="1" spans="1:32" ht="36" x14ac:dyDescent="0.4">
      <c r="A1" s="151" t="s">
        <v>621</v>
      </c>
      <c r="B1" s="152" t="s">
        <v>622</v>
      </c>
      <c r="C1" s="153" t="s">
        <v>623</v>
      </c>
      <c r="D1" s="153" t="s">
        <v>624</v>
      </c>
      <c r="E1" s="153" t="s">
        <v>625</v>
      </c>
      <c r="F1" s="153" t="s">
        <v>626</v>
      </c>
      <c r="G1" s="154" t="s">
        <v>627</v>
      </c>
      <c r="H1" s="153" t="s">
        <v>628</v>
      </c>
      <c r="I1" s="163" t="s">
        <v>629</v>
      </c>
      <c r="J1" s="169" t="s">
        <v>822</v>
      </c>
      <c r="K1" s="153" t="s">
        <v>630</v>
      </c>
      <c r="L1" s="155" t="s">
        <v>631</v>
      </c>
      <c r="O1" s="116" t="s">
        <v>623</v>
      </c>
      <c r="P1" s="23" t="s">
        <v>824</v>
      </c>
      <c r="Q1" s="130" t="s">
        <v>822</v>
      </c>
      <c r="R1" s="130" t="str" cm="1">
        <f t="array" ref="R1:R14">_xlfn.UNIQUE(J:J)</f>
        <v>到職月份</v>
      </c>
      <c r="S1" s="126"/>
      <c r="T1" s="127" t="s">
        <v>5</v>
      </c>
      <c r="V1" s="130" t="s">
        <v>822</v>
      </c>
      <c r="W1" s="116" t="s">
        <v>623</v>
      </c>
      <c r="AA1" s="130" t="s">
        <v>899</v>
      </c>
      <c r="AB1" s="130" t="s">
        <v>900</v>
      </c>
    </row>
    <row r="2" spans="1:32" ht="46.3" x14ac:dyDescent="0.4">
      <c r="A2" s="1" t="str">
        <f>B2&amp;TEXT(ROW()-1,"000")</f>
        <v>A001</v>
      </c>
      <c r="B2" s="97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167">
        <f>MONTH(表格1_date[[#This Row],[到職日期]])</f>
        <v>1</v>
      </c>
      <c r="K2" s="49"/>
      <c r="L2" s="150" t="s">
        <v>636</v>
      </c>
      <c r="O2" s="23" t="s">
        <v>632</v>
      </c>
      <c r="P2" s="126" t="s">
        <v>821</v>
      </c>
      <c r="Q2" s="164">
        <f>MONTH(I:I)</f>
        <v>1</v>
      </c>
      <c r="R2" s="126">
        <v>1</v>
      </c>
      <c r="S2" s="126"/>
      <c r="T2" s="31"/>
      <c r="U2" s="31"/>
      <c r="V2" s="137">
        <v>1</v>
      </c>
      <c r="W2" s="125" t="s">
        <v>632</v>
      </c>
      <c r="X2" s="31" t="s">
        <v>841</v>
      </c>
      <c r="Y2" s="99"/>
      <c r="Z2" s="99"/>
      <c r="AA2" s="285">
        <f ca="1">DATE(YEAR(TODAY()),VALUE(V2),1)</f>
        <v>45658</v>
      </c>
      <c r="AB2" s="285">
        <f ca="1">EOMONTH(AA2,0)</f>
        <v>45688</v>
      </c>
    </row>
    <row r="3" spans="1:32" ht="25.75" customHeight="1" x14ac:dyDescent="0.4">
      <c r="A3" s="1" t="str">
        <f t="shared" ref="A3:A54" si="0">B3&amp;TEXT(ROW()-1,"000")</f>
        <v>A002</v>
      </c>
      <c r="B3" s="97" t="str">
        <f>VLOOKUP(C3,item!B:C,2,0)</f>
        <v>A</v>
      </c>
      <c r="C3" s="43" t="s">
        <v>632</v>
      </c>
      <c r="D3" s="84" t="s">
        <v>640</v>
      </c>
      <c r="E3" s="57" t="s">
        <v>641</v>
      </c>
      <c r="F3" s="84">
        <v>65050</v>
      </c>
      <c r="G3" s="58" t="s">
        <v>642</v>
      </c>
      <c r="H3" s="84">
        <v>216</v>
      </c>
      <c r="I3" s="48">
        <v>35827</v>
      </c>
      <c r="J3" s="167">
        <f>MONTH(表格1_date[[#This Row],[到職日期]])</f>
        <v>2</v>
      </c>
      <c r="K3" s="84"/>
      <c r="L3" s="150" t="s">
        <v>643</v>
      </c>
      <c r="R3" s="23">
        <v>2</v>
      </c>
      <c r="V3" s="135" t="s">
        <v>901</v>
      </c>
    </row>
    <row r="4" spans="1:32" x14ac:dyDescent="0.4">
      <c r="A4" s="1" t="str">
        <f t="shared" si="0"/>
        <v>A003</v>
      </c>
      <c r="B4" s="97" t="str">
        <f>VLOOKUP(C4,item!B:C,2,0)</f>
        <v>A</v>
      </c>
      <c r="C4" s="43" t="s">
        <v>632</v>
      </c>
      <c r="D4" s="59" t="s">
        <v>644</v>
      </c>
      <c r="E4" s="85" t="s">
        <v>645</v>
      </c>
      <c r="F4" s="59">
        <v>65046</v>
      </c>
      <c r="G4" s="58" t="s">
        <v>646</v>
      </c>
      <c r="H4" s="84">
        <v>216</v>
      </c>
      <c r="I4" s="48">
        <v>35855</v>
      </c>
      <c r="J4" s="167">
        <f>MONTH(表格1_date[[#This Row],[到職日期]])</f>
        <v>3</v>
      </c>
      <c r="K4" s="84"/>
      <c r="L4" s="150" t="s">
        <v>647</v>
      </c>
      <c r="R4" s="23">
        <v>3</v>
      </c>
      <c r="V4" s="33" t="s">
        <v>275</v>
      </c>
      <c r="W4" s="33" t="s">
        <v>827</v>
      </c>
      <c r="X4" s="33" t="s">
        <v>623</v>
      </c>
      <c r="Y4" s="33" t="s">
        <v>624</v>
      </c>
      <c r="Z4" s="33" t="s">
        <v>625</v>
      </c>
      <c r="AA4" s="33" t="s">
        <v>828</v>
      </c>
      <c r="AB4" s="33" t="s">
        <v>829</v>
      </c>
      <c r="AC4" s="33" t="s">
        <v>830</v>
      </c>
      <c r="AD4" s="33" t="s">
        <v>831</v>
      </c>
      <c r="AE4" s="33" t="s">
        <v>832</v>
      </c>
      <c r="AF4" s="33" t="s">
        <v>434</v>
      </c>
    </row>
    <row r="5" spans="1:32" x14ac:dyDescent="0.4">
      <c r="A5" s="1" t="str">
        <f t="shared" si="0"/>
        <v>A004</v>
      </c>
      <c r="B5" s="97" t="str">
        <f>VLOOKUP(C5,item!B:C,2,0)</f>
        <v>A</v>
      </c>
      <c r="C5" s="43" t="s">
        <v>632</v>
      </c>
      <c r="D5" s="84" t="s">
        <v>648</v>
      </c>
      <c r="E5" s="85" t="s">
        <v>649</v>
      </c>
      <c r="F5" s="84">
        <v>65048</v>
      </c>
      <c r="G5" s="58" t="s">
        <v>650</v>
      </c>
      <c r="H5" s="84">
        <v>216</v>
      </c>
      <c r="I5" s="48">
        <v>35886</v>
      </c>
      <c r="J5" s="167">
        <f>MONTH(表格1_date[[#This Row],[到職日期]])</f>
        <v>4</v>
      </c>
      <c r="K5" s="84"/>
      <c r="L5" s="150" t="s">
        <v>651</v>
      </c>
      <c r="R5" s="23">
        <v>4</v>
      </c>
      <c r="V5" s="286" t="e" cm="1">
        <f t="array" ref="V5">_xlfn._xlws.FILTER(表格1_date[#All],(MONTH(I2:I54)=V2)*(C2:C54=W2),"本月無資料")</f>
        <v>#VALUE!</v>
      </c>
      <c r="AD5" s="128"/>
    </row>
    <row r="6" spans="1:32" x14ac:dyDescent="0.4">
      <c r="A6" s="1" t="str">
        <f t="shared" si="0"/>
        <v>A005</v>
      </c>
      <c r="B6" s="97" t="str">
        <f>VLOOKUP(C6,item!B:C,2,0)</f>
        <v>A</v>
      </c>
      <c r="C6" s="43" t="s">
        <v>632</v>
      </c>
      <c r="D6" s="61" t="s">
        <v>652</v>
      </c>
      <c r="E6" s="85" t="s">
        <v>653</v>
      </c>
      <c r="F6" s="77">
        <v>65049</v>
      </c>
      <c r="G6" s="63" t="s">
        <v>654</v>
      </c>
      <c r="H6" s="77">
        <v>216</v>
      </c>
      <c r="I6" s="48">
        <v>35916</v>
      </c>
      <c r="J6" s="167">
        <f>MONTH(表格1_date[[#This Row],[到職日期]])</f>
        <v>5</v>
      </c>
      <c r="K6" s="77"/>
      <c r="L6" s="150" t="s">
        <v>655</v>
      </c>
      <c r="R6" s="23">
        <v>5</v>
      </c>
      <c r="V6" s="23" t="str" cm="1">
        <f t="array" ref="V6:AF6">_xlfn._xlws.FILTER(staff,(MONTH(I2:I54)=V2)*(C2:C54=W2),"本月無資料")</f>
        <v>A001</v>
      </c>
      <c r="W6" s="23" t="str">
        <v>A</v>
      </c>
      <c r="X6" s="23" t="str">
        <v>行政室</v>
      </c>
      <c r="Y6" s="23" t="str">
        <v>顏嗣鈞</v>
      </c>
      <c r="Z6" s="23" t="str">
        <v>主任</v>
      </c>
      <c r="AA6" s="23">
        <v>65001</v>
      </c>
      <c r="AB6" s="23" t="str">
        <v>hcyen@ntu.edu.tw</v>
      </c>
      <c r="AC6" s="23">
        <v>220</v>
      </c>
      <c r="AD6" s="128">
        <v>35796</v>
      </c>
      <c r="AE6" s="23">
        <v>0</v>
      </c>
      <c r="AF6" s="23" t="str">
        <v>01</v>
      </c>
    </row>
    <row r="7" spans="1:32" x14ac:dyDescent="0.4">
      <c r="A7" s="1" t="str">
        <f t="shared" si="0"/>
        <v>B006</v>
      </c>
      <c r="B7" s="97" t="str">
        <f>VLOOKUP(C7,item!B:C,2,0)</f>
        <v>B</v>
      </c>
      <c r="C7" s="43" t="s">
        <v>658</v>
      </c>
      <c r="D7" s="84" t="s">
        <v>659</v>
      </c>
      <c r="E7" s="85" t="s">
        <v>660</v>
      </c>
      <c r="F7" s="77">
        <v>65005</v>
      </c>
      <c r="G7" s="86" t="s">
        <v>661</v>
      </c>
      <c r="H7" s="77">
        <v>209</v>
      </c>
      <c r="I7" s="48">
        <v>35947</v>
      </c>
      <c r="J7" s="167">
        <f>MONTH(表格1_date[[#This Row],[到職日期]])</f>
        <v>6</v>
      </c>
      <c r="K7" s="77"/>
      <c r="L7" s="150" t="s">
        <v>662</v>
      </c>
      <c r="R7" s="23">
        <v>6</v>
      </c>
      <c r="AD7" s="128"/>
    </row>
    <row r="8" spans="1:32" x14ac:dyDescent="0.4">
      <c r="A8" s="1" t="str">
        <f t="shared" si="0"/>
        <v>B007</v>
      </c>
      <c r="B8" s="97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167">
        <f>MONTH(表格1_date[[#This Row],[到職日期]])</f>
        <v>7</v>
      </c>
      <c r="K8" s="46"/>
      <c r="L8" s="150" t="s">
        <v>666</v>
      </c>
      <c r="R8" s="23">
        <v>7</v>
      </c>
      <c r="AD8" s="128"/>
    </row>
    <row r="9" spans="1:32" x14ac:dyDescent="0.4">
      <c r="A9" s="1" t="str">
        <f t="shared" si="0"/>
        <v>B008</v>
      </c>
      <c r="B9" s="97" t="str">
        <f>VLOOKUP(C9,item!B:C,2,0)</f>
        <v>B</v>
      </c>
      <c r="C9" s="43" t="s">
        <v>658</v>
      </c>
      <c r="D9" s="84" t="s">
        <v>667</v>
      </c>
      <c r="E9" s="85" t="s">
        <v>641</v>
      </c>
      <c r="F9" s="84">
        <v>65031</v>
      </c>
      <c r="G9" s="58" t="s">
        <v>668</v>
      </c>
      <c r="H9" s="84">
        <v>318</v>
      </c>
      <c r="I9" s="48">
        <v>36008</v>
      </c>
      <c r="J9" s="167">
        <f>MONTH(表格1_date[[#This Row],[到職日期]])</f>
        <v>8</v>
      </c>
      <c r="K9" s="84"/>
      <c r="L9" s="150" t="s">
        <v>669</v>
      </c>
      <c r="R9" s="23">
        <v>8</v>
      </c>
      <c r="AD9" s="128"/>
    </row>
    <row r="10" spans="1:32" x14ac:dyDescent="0.4">
      <c r="A10" s="1" t="str">
        <f t="shared" si="0"/>
        <v>B009</v>
      </c>
      <c r="B10" s="97" t="str">
        <f>VLOOKUP(C10,item!B:C,2,0)</f>
        <v>B</v>
      </c>
      <c r="C10" s="43" t="s">
        <v>658</v>
      </c>
      <c r="D10" s="84" t="s">
        <v>670</v>
      </c>
      <c r="E10" s="85" t="s">
        <v>641</v>
      </c>
      <c r="F10" s="84">
        <v>55448</v>
      </c>
      <c r="G10" s="58" t="s">
        <v>671</v>
      </c>
      <c r="H10" s="84">
        <v>318</v>
      </c>
      <c r="I10" s="48">
        <v>36039</v>
      </c>
      <c r="J10" s="167">
        <f>MONTH(表格1_date[[#This Row],[到職日期]])</f>
        <v>9</v>
      </c>
      <c r="K10" s="68"/>
      <c r="L10" s="150" t="s">
        <v>672</v>
      </c>
      <c r="R10" s="23">
        <v>9</v>
      </c>
    </row>
    <row r="11" spans="1:32" ht="45" x14ac:dyDescent="0.4">
      <c r="A11" s="1" t="str">
        <f t="shared" si="0"/>
        <v>C010</v>
      </c>
      <c r="B11" s="97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167">
        <f>MONTH(表格1_date[[#This Row],[到職日期]])</f>
        <v>10</v>
      </c>
      <c r="K11" s="46"/>
      <c r="L11" s="150" t="s">
        <v>676</v>
      </c>
      <c r="R11" s="23">
        <v>10</v>
      </c>
    </row>
    <row r="12" spans="1:32" x14ac:dyDescent="0.4">
      <c r="A12" s="1" t="str">
        <f t="shared" si="0"/>
        <v>C011</v>
      </c>
      <c r="B12" s="97" t="str">
        <f>VLOOKUP(C12,item!B:C,2,0)</f>
        <v>C</v>
      </c>
      <c r="C12" s="43" t="s">
        <v>673</v>
      </c>
      <c r="D12" s="84" t="s">
        <v>677</v>
      </c>
      <c r="E12" s="70" t="s">
        <v>839</v>
      </c>
      <c r="F12" s="84">
        <v>65026</v>
      </c>
      <c r="G12" s="58" t="s">
        <v>678</v>
      </c>
      <c r="H12" s="84">
        <v>403</v>
      </c>
      <c r="I12" s="48">
        <v>36100</v>
      </c>
      <c r="J12" s="167">
        <f>MONTH(表格1_date[[#This Row],[到職日期]])</f>
        <v>11</v>
      </c>
      <c r="K12" s="84"/>
      <c r="L12" s="150" t="s">
        <v>679</v>
      </c>
      <c r="R12" s="23">
        <v>11</v>
      </c>
    </row>
    <row r="13" spans="1:32" x14ac:dyDescent="0.4">
      <c r="A13" s="1" t="str">
        <f t="shared" si="0"/>
        <v>C012</v>
      </c>
      <c r="B13" s="97" t="str">
        <f>VLOOKUP(C13,item!B:C,2,0)</f>
        <v>C</v>
      </c>
      <c r="C13" s="43" t="s">
        <v>673</v>
      </c>
      <c r="D13" s="84" t="s">
        <v>680</v>
      </c>
      <c r="E13" s="70" t="s">
        <v>839</v>
      </c>
      <c r="F13" s="84">
        <v>65034</v>
      </c>
      <c r="G13" s="58" t="s">
        <v>681</v>
      </c>
      <c r="H13" s="84">
        <v>301</v>
      </c>
      <c r="I13" s="48">
        <v>36130</v>
      </c>
      <c r="J13" s="167">
        <f>MONTH(表格1_date[[#This Row],[到職日期]])</f>
        <v>12</v>
      </c>
      <c r="K13" s="84"/>
      <c r="L13" s="150" t="s">
        <v>682</v>
      </c>
      <c r="R13" s="23">
        <v>12</v>
      </c>
      <c r="V13" s="23" t="b" cm="1">
        <f t="array" ref="V13:V65">MONTH(I2:I54)=V2</f>
        <v>1</v>
      </c>
      <c r="W13" s="23" t="b" cm="1">
        <f t="array" ref="W13:W65">C2:C54=W2</f>
        <v>1</v>
      </c>
    </row>
    <row r="14" spans="1:32" x14ac:dyDescent="0.4">
      <c r="A14" s="1" t="str">
        <f t="shared" si="0"/>
        <v>C013</v>
      </c>
      <c r="B14" s="97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84">
        <v>109</v>
      </c>
      <c r="I14" s="48">
        <v>36161</v>
      </c>
      <c r="J14" s="167">
        <f>MONTH(表格1_date[[#This Row],[到職日期]])</f>
        <v>1</v>
      </c>
      <c r="K14" s="72"/>
      <c r="L14" s="150" t="s">
        <v>685</v>
      </c>
      <c r="R14" s="23">
        <v>0</v>
      </c>
      <c r="V14" s="23" t="b">
        <v>0</v>
      </c>
      <c r="W14" s="23" t="b">
        <v>1</v>
      </c>
    </row>
    <row r="15" spans="1:32" ht="16.75" x14ac:dyDescent="0.45">
      <c r="A15" s="1" t="str">
        <f t="shared" si="0"/>
        <v>C014</v>
      </c>
      <c r="B15" s="97" t="str">
        <f>VLOOKUP(C15,item!B:C,2,0)</f>
        <v>C</v>
      </c>
      <c r="C15" s="43" t="s">
        <v>673</v>
      </c>
      <c r="D15" s="84" t="s">
        <v>686</v>
      </c>
      <c r="E15" s="85" t="s">
        <v>641</v>
      </c>
      <c r="F15" s="84">
        <v>65016</v>
      </c>
      <c r="G15" s="73" t="s">
        <v>687</v>
      </c>
      <c r="H15" s="84">
        <v>109</v>
      </c>
      <c r="I15" s="48">
        <v>36192</v>
      </c>
      <c r="J15" s="167">
        <f>MONTH(表格1_date[[#This Row],[到職日期]])</f>
        <v>2</v>
      </c>
      <c r="K15" s="84"/>
      <c r="L15" s="150" t="s">
        <v>688</v>
      </c>
      <c r="V15" s="23" t="b">
        <v>0</v>
      </c>
      <c r="W15" s="23" t="b">
        <v>1</v>
      </c>
    </row>
    <row r="16" spans="1:32" x14ac:dyDescent="0.4">
      <c r="A16" s="1" t="str">
        <f t="shared" si="0"/>
        <v>C015</v>
      </c>
      <c r="B16" s="97" t="str">
        <f>VLOOKUP(C16,item!B:C,2,0)</f>
        <v>C</v>
      </c>
      <c r="C16" s="43" t="s">
        <v>673</v>
      </c>
      <c r="D16" s="59" t="s">
        <v>689</v>
      </c>
      <c r="E16" s="85" t="s">
        <v>641</v>
      </c>
      <c r="F16" s="74">
        <v>65519</v>
      </c>
      <c r="G16" s="58" t="s">
        <v>690</v>
      </c>
      <c r="H16" s="84">
        <v>315</v>
      </c>
      <c r="I16" s="48">
        <v>36220</v>
      </c>
      <c r="J16" s="167">
        <f>MONTH(表格1_date[[#This Row],[到職日期]])</f>
        <v>3</v>
      </c>
      <c r="K16" s="84"/>
      <c r="L16" s="150" t="s">
        <v>691</v>
      </c>
      <c r="V16" s="23" t="b">
        <v>0</v>
      </c>
      <c r="W16" s="23" t="b">
        <v>1</v>
      </c>
    </row>
    <row r="17" spans="1:23" x14ac:dyDescent="0.4">
      <c r="A17" s="1" t="str">
        <f t="shared" si="0"/>
        <v>C016</v>
      </c>
      <c r="B17" s="97" t="str">
        <f>VLOOKUP(C17,item!B:C,2,0)</f>
        <v>C</v>
      </c>
      <c r="C17" s="43" t="s">
        <v>673</v>
      </c>
      <c r="D17" s="84" t="s">
        <v>692</v>
      </c>
      <c r="E17" s="85" t="s">
        <v>641</v>
      </c>
      <c r="F17" s="74">
        <v>69869</v>
      </c>
      <c r="G17" s="58" t="s">
        <v>693</v>
      </c>
      <c r="H17" s="84">
        <v>316</v>
      </c>
      <c r="I17" s="48">
        <v>36251</v>
      </c>
      <c r="J17" s="167">
        <f>MONTH(表格1_date[[#This Row],[到職日期]])</f>
        <v>4</v>
      </c>
      <c r="K17" s="84"/>
      <c r="L17" s="150" t="s">
        <v>694</v>
      </c>
      <c r="V17" s="23" t="b">
        <v>0</v>
      </c>
      <c r="W17" s="23" t="b">
        <v>1</v>
      </c>
    </row>
    <row r="18" spans="1:23" x14ac:dyDescent="0.4">
      <c r="A18" s="1" t="str">
        <f t="shared" si="0"/>
        <v>C017</v>
      </c>
      <c r="B18" s="97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167">
        <f>MONTH(表格1_date[[#This Row],[到職日期]])</f>
        <v>5</v>
      </c>
      <c r="K18" s="72"/>
      <c r="L18" s="150" t="s">
        <v>697</v>
      </c>
      <c r="V18" s="23" t="b">
        <v>0</v>
      </c>
      <c r="W18" s="23" t="b">
        <v>0</v>
      </c>
    </row>
    <row r="19" spans="1:23" x14ac:dyDescent="0.4">
      <c r="A19" s="1" t="str">
        <f t="shared" si="0"/>
        <v>C018</v>
      </c>
      <c r="B19" s="97" t="str">
        <f>VLOOKUP(C19,item!B:C,2,0)</f>
        <v>C</v>
      </c>
      <c r="C19" s="43" t="s">
        <v>673</v>
      </c>
      <c r="D19" s="84" t="s">
        <v>698</v>
      </c>
      <c r="E19" s="85" t="s">
        <v>641</v>
      </c>
      <c r="F19" s="77">
        <v>65512</v>
      </c>
      <c r="G19" s="78" t="s">
        <v>699</v>
      </c>
      <c r="H19" s="84">
        <v>316</v>
      </c>
      <c r="I19" s="48">
        <v>36312</v>
      </c>
      <c r="J19" s="167">
        <f>MONTH(表格1_date[[#This Row],[到職日期]])</f>
        <v>6</v>
      </c>
      <c r="K19" s="84"/>
      <c r="L19" s="150" t="s">
        <v>700</v>
      </c>
      <c r="V19" s="23" t="b">
        <v>0</v>
      </c>
      <c r="W19" s="23" t="b">
        <v>0</v>
      </c>
    </row>
    <row r="20" spans="1:23" x14ac:dyDescent="0.4">
      <c r="A20" s="1" t="str">
        <f t="shared" si="0"/>
        <v>C019</v>
      </c>
      <c r="B20" s="97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74">
        <v>65510</v>
      </c>
      <c r="G20" s="81" t="s">
        <v>702</v>
      </c>
      <c r="H20" s="74">
        <v>316</v>
      </c>
      <c r="I20" s="48">
        <v>36342</v>
      </c>
      <c r="J20" s="167">
        <f>MONTH(表格1_date[[#This Row],[到職日期]])</f>
        <v>7</v>
      </c>
      <c r="K20" s="72"/>
      <c r="L20" s="150" t="s">
        <v>703</v>
      </c>
      <c r="V20" s="23" t="b">
        <v>0</v>
      </c>
      <c r="W20" s="23" t="b">
        <v>0</v>
      </c>
    </row>
    <row r="21" spans="1:23" x14ac:dyDescent="0.4">
      <c r="A21" s="1" t="str">
        <f t="shared" si="0"/>
        <v>C020</v>
      </c>
      <c r="B21" s="97" t="str">
        <f>VLOOKUP(C21,item!B:C,2,0)</f>
        <v>C</v>
      </c>
      <c r="C21" s="43" t="s">
        <v>673</v>
      </c>
      <c r="D21" s="84" t="s">
        <v>704</v>
      </c>
      <c r="E21" s="85" t="s">
        <v>653</v>
      </c>
      <c r="F21" s="84">
        <v>65022</v>
      </c>
      <c r="G21" s="58" t="s">
        <v>705</v>
      </c>
      <c r="H21" s="84">
        <v>109</v>
      </c>
      <c r="I21" s="48">
        <v>36373</v>
      </c>
      <c r="J21" s="167">
        <f>MONTH(表格1_date[[#This Row],[到職日期]])</f>
        <v>8</v>
      </c>
      <c r="K21" s="84"/>
      <c r="L21" s="150" t="s">
        <v>706</v>
      </c>
      <c r="V21" s="23" t="b">
        <v>0</v>
      </c>
      <c r="W21" s="23" t="b">
        <v>0</v>
      </c>
    </row>
    <row r="22" spans="1:23" x14ac:dyDescent="0.4">
      <c r="A22" s="1" t="str">
        <f t="shared" si="0"/>
        <v>D021</v>
      </c>
      <c r="B22" s="97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167">
        <f>MONTH(表格1_date[[#This Row],[到職日期]])</f>
        <v>9</v>
      </c>
      <c r="K22" s="44"/>
      <c r="L22" s="150" t="s">
        <v>710</v>
      </c>
      <c r="V22" s="23" t="b">
        <v>0</v>
      </c>
      <c r="W22" s="23" t="b">
        <v>0</v>
      </c>
    </row>
    <row r="23" spans="1:23" x14ac:dyDescent="0.4">
      <c r="A23" s="1" t="str">
        <f t="shared" si="0"/>
        <v>D022</v>
      </c>
      <c r="B23" s="97" t="str">
        <f>VLOOKUP(C23,item!B:C,2,0)</f>
        <v>D</v>
      </c>
      <c r="C23" s="43" t="s">
        <v>707</v>
      </c>
      <c r="D23" s="84" t="s">
        <v>711</v>
      </c>
      <c r="E23" s="85" t="s">
        <v>712</v>
      </c>
      <c r="F23" s="84">
        <v>65006</v>
      </c>
      <c r="G23" s="58" t="s">
        <v>713</v>
      </c>
      <c r="H23" s="84">
        <v>411</v>
      </c>
      <c r="I23" s="48">
        <v>36434</v>
      </c>
      <c r="J23" s="167">
        <f>MONTH(表格1_date[[#This Row],[到職日期]])</f>
        <v>10</v>
      </c>
      <c r="K23" s="84"/>
      <c r="L23" s="150" t="s">
        <v>714</v>
      </c>
      <c r="V23" s="23" t="b">
        <v>0</v>
      </c>
      <c r="W23" s="23" t="b">
        <v>0</v>
      </c>
    </row>
    <row r="24" spans="1:23" x14ac:dyDescent="0.4">
      <c r="A24" s="1" t="str">
        <f t="shared" si="0"/>
        <v>D023</v>
      </c>
      <c r="B24" s="97" t="str">
        <f>VLOOKUP(C24,item!B:C,2,0)</f>
        <v>D</v>
      </c>
      <c r="C24" s="43" t="s">
        <v>707</v>
      </c>
      <c r="D24" s="84" t="s">
        <v>715</v>
      </c>
      <c r="E24" s="85" t="s">
        <v>712</v>
      </c>
      <c r="F24" s="84">
        <v>65010</v>
      </c>
      <c r="G24" s="58" t="s">
        <v>716</v>
      </c>
      <c r="H24" s="84">
        <v>411</v>
      </c>
      <c r="I24" s="48">
        <v>36465</v>
      </c>
      <c r="J24" s="167">
        <f>MONTH(表格1_date[[#This Row],[到職日期]])</f>
        <v>11</v>
      </c>
      <c r="K24" s="84"/>
      <c r="L24" s="150" t="s">
        <v>717</v>
      </c>
      <c r="V24" s="23" t="b">
        <v>0</v>
      </c>
      <c r="W24" s="23" t="b">
        <v>0</v>
      </c>
    </row>
    <row r="25" spans="1:23" ht="16.75" x14ac:dyDescent="0.45">
      <c r="A25" s="1" t="str">
        <f t="shared" si="0"/>
        <v>D024</v>
      </c>
      <c r="B25" s="97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167">
        <f>MONTH(表格1_date[[#This Row],[到職日期]])</f>
        <v>12</v>
      </c>
      <c r="K25" s="84"/>
      <c r="L25" s="150" t="s">
        <v>721</v>
      </c>
      <c r="V25" s="23" t="b">
        <v>1</v>
      </c>
      <c r="W25" s="23" t="b">
        <v>0</v>
      </c>
    </row>
    <row r="26" spans="1:23" x14ac:dyDescent="0.4">
      <c r="A26" s="1" t="str">
        <f t="shared" si="0"/>
        <v>D025</v>
      </c>
      <c r="B26" s="97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167">
        <f>MONTH(表格1_date[[#This Row],[到職日期]])</f>
        <v>1</v>
      </c>
      <c r="K26" s="87"/>
      <c r="L26" s="150" t="s">
        <v>724</v>
      </c>
      <c r="V26" s="23" t="b">
        <v>0</v>
      </c>
      <c r="W26" s="23" t="b">
        <v>0</v>
      </c>
    </row>
    <row r="27" spans="1:23" ht="16.75" x14ac:dyDescent="0.45">
      <c r="A27" s="1" t="str">
        <f t="shared" si="0"/>
        <v>D026</v>
      </c>
      <c r="B27" s="97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84">
        <v>65012</v>
      </c>
      <c r="G27" s="90" t="s">
        <v>726</v>
      </c>
      <c r="H27" s="84">
        <v>411</v>
      </c>
      <c r="I27" s="48">
        <v>36557</v>
      </c>
      <c r="J27" s="167">
        <f>MONTH(表格1_date[[#This Row],[到職日期]])</f>
        <v>2</v>
      </c>
      <c r="K27" s="84"/>
      <c r="L27" s="150" t="s">
        <v>727</v>
      </c>
      <c r="V27" s="23" t="b">
        <v>0</v>
      </c>
      <c r="W27" s="23" t="b">
        <v>0</v>
      </c>
    </row>
    <row r="28" spans="1:23" ht="16.75" x14ac:dyDescent="0.45">
      <c r="A28" s="1" t="str">
        <f t="shared" si="0"/>
        <v>D027</v>
      </c>
      <c r="B28" s="97" t="str">
        <f>VLOOKUP(C28,item!B:C,2,0)</f>
        <v>D</v>
      </c>
      <c r="C28" s="43" t="s">
        <v>707</v>
      </c>
      <c r="D28" s="84" t="s">
        <v>728</v>
      </c>
      <c r="E28" s="85" t="s">
        <v>729</v>
      </c>
      <c r="F28" s="84">
        <v>65009</v>
      </c>
      <c r="G28" s="90" t="s">
        <v>730</v>
      </c>
      <c r="H28" s="84">
        <v>411</v>
      </c>
      <c r="I28" s="48">
        <v>36586</v>
      </c>
      <c r="J28" s="167">
        <f>MONTH(表格1_date[[#This Row],[到職日期]])</f>
        <v>3</v>
      </c>
      <c r="K28" s="84"/>
      <c r="L28" s="150" t="s">
        <v>731</v>
      </c>
      <c r="V28" s="23" t="b">
        <v>0</v>
      </c>
      <c r="W28" s="23" t="b">
        <v>0</v>
      </c>
    </row>
    <row r="29" spans="1:23" ht="16.75" x14ac:dyDescent="0.45">
      <c r="A29" s="1" t="str">
        <f t="shared" si="0"/>
        <v>D028</v>
      </c>
      <c r="B29" s="97" t="str">
        <f>VLOOKUP(C29,item!B:C,2,0)</f>
        <v>D</v>
      </c>
      <c r="C29" s="43" t="s">
        <v>707</v>
      </c>
      <c r="D29" s="84" t="s">
        <v>732</v>
      </c>
      <c r="E29" s="85" t="s">
        <v>729</v>
      </c>
      <c r="F29" s="84">
        <v>65513</v>
      </c>
      <c r="G29" s="90" t="s">
        <v>733</v>
      </c>
      <c r="H29" s="84">
        <v>411</v>
      </c>
      <c r="I29" s="48">
        <v>36617</v>
      </c>
      <c r="J29" s="167">
        <f>MONTH(表格1_date[[#This Row],[到職日期]])</f>
        <v>4</v>
      </c>
      <c r="K29" s="84"/>
      <c r="L29" s="150" t="s">
        <v>734</v>
      </c>
      <c r="V29" s="23" t="b">
        <v>0</v>
      </c>
      <c r="W29" s="23" t="b">
        <v>0</v>
      </c>
    </row>
    <row r="30" spans="1:23" ht="30" x14ac:dyDescent="0.4">
      <c r="A30" s="1" t="str">
        <f t="shared" si="0"/>
        <v>D029</v>
      </c>
      <c r="B30" s="97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167">
        <f>MONTH(表格1_date[[#This Row],[到職日期]])</f>
        <v>5</v>
      </c>
      <c r="K30" s="46"/>
      <c r="L30" s="150" t="s">
        <v>738</v>
      </c>
      <c r="V30" s="23" t="b">
        <v>0</v>
      </c>
      <c r="W30" s="23" t="b">
        <v>0</v>
      </c>
    </row>
    <row r="31" spans="1:23" ht="45" x14ac:dyDescent="0.4">
      <c r="A31" s="1" t="str">
        <f t="shared" si="0"/>
        <v>D030</v>
      </c>
      <c r="B31" s="97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167">
        <f>MONTH(表格1_date[[#This Row],[到職日期]])</f>
        <v>6</v>
      </c>
      <c r="K31" s="59"/>
      <c r="L31" s="150" t="s">
        <v>744</v>
      </c>
      <c r="V31" s="23" t="b">
        <v>0</v>
      </c>
      <c r="W31" s="23" t="b">
        <v>0</v>
      </c>
    </row>
    <row r="32" spans="1:23" ht="45" x14ac:dyDescent="0.4">
      <c r="A32" s="1" t="str">
        <f t="shared" si="0"/>
        <v>D031</v>
      </c>
      <c r="B32" s="97" t="str">
        <f>VLOOKUP(C32,item!B:C,2,0)</f>
        <v>D</v>
      </c>
      <c r="C32" s="43" t="s">
        <v>707</v>
      </c>
      <c r="D32" s="84" t="s">
        <v>745</v>
      </c>
      <c r="E32" s="91" t="s">
        <v>740</v>
      </c>
      <c r="F32" s="84" t="s">
        <v>741</v>
      </c>
      <c r="G32" s="58" t="s">
        <v>746</v>
      </c>
      <c r="H32" s="84" t="s">
        <v>743</v>
      </c>
      <c r="I32" s="48">
        <v>36708</v>
      </c>
      <c r="J32" s="167">
        <f>MONTH(表格1_date[[#This Row],[到職日期]])</f>
        <v>7</v>
      </c>
      <c r="K32" s="59"/>
      <c r="L32" s="150" t="s">
        <v>747</v>
      </c>
      <c r="V32" s="23" t="b">
        <v>0</v>
      </c>
      <c r="W32" s="23" t="b">
        <v>0</v>
      </c>
    </row>
    <row r="33" spans="1:23" ht="45" x14ac:dyDescent="0.4">
      <c r="A33" s="1" t="str">
        <f t="shared" si="0"/>
        <v>D032</v>
      </c>
      <c r="B33" s="97" t="str">
        <f>VLOOKUP(C33,item!B:C,2,0)</f>
        <v>D</v>
      </c>
      <c r="C33" s="43" t="s">
        <v>707</v>
      </c>
      <c r="D33" s="84" t="s">
        <v>748</v>
      </c>
      <c r="E33" s="85" t="s">
        <v>740</v>
      </c>
      <c r="F33" s="84" t="s">
        <v>741</v>
      </c>
      <c r="G33" s="58" t="s">
        <v>749</v>
      </c>
      <c r="H33" s="84" t="s">
        <v>743</v>
      </c>
      <c r="I33" s="48">
        <v>36739</v>
      </c>
      <c r="J33" s="167">
        <f>MONTH(表格1_date[[#This Row],[到職日期]])</f>
        <v>8</v>
      </c>
      <c r="K33" s="84"/>
      <c r="L33" s="150" t="s">
        <v>750</v>
      </c>
      <c r="V33" s="23" t="b">
        <v>0</v>
      </c>
      <c r="W33" s="23" t="b">
        <v>0</v>
      </c>
    </row>
    <row r="34" spans="1:23" x14ac:dyDescent="0.4">
      <c r="A34" s="1" t="str">
        <f t="shared" si="0"/>
        <v>E033</v>
      </c>
      <c r="B34" s="97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167">
        <f>MONTH(表格1_date[[#This Row],[到職日期]])</f>
        <v>9</v>
      </c>
      <c r="K34" s="46"/>
      <c r="L34" s="150" t="s">
        <v>754</v>
      </c>
      <c r="V34" s="23" t="b">
        <v>0</v>
      </c>
      <c r="W34" s="23" t="b">
        <v>0</v>
      </c>
    </row>
    <row r="35" spans="1:23" x14ac:dyDescent="0.4">
      <c r="A35" s="1" t="str">
        <f t="shared" si="0"/>
        <v>E034</v>
      </c>
      <c r="B35" s="97" t="str">
        <f>VLOOKUP(C35,item!B:C,2,0)</f>
        <v>E</v>
      </c>
      <c r="C35" s="43" t="s">
        <v>751</v>
      </c>
      <c r="D35" s="84" t="s">
        <v>755</v>
      </c>
      <c r="E35" s="70" t="s">
        <v>839</v>
      </c>
      <c r="F35" s="84">
        <v>65035</v>
      </c>
      <c r="G35" s="58" t="s">
        <v>756</v>
      </c>
      <c r="H35" s="84">
        <v>201</v>
      </c>
      <c r="I35" s="48">
        <v>36800</v>
      </c>
      <c r="J35" s="167">
        <f>MONTH(表格1_date[[#This Row],[到職日期]])</f>
        <v>10</v>
      </c>
      <c r="K35" s="84"/>
      <c r="L35" s="150" t="s">
        <v>757</v>
      </c>
      <c r="V35" s="23" t="b">
        <v>0</v>
      </c>
      <c r="W35" s="23" t="b">
        <v>0</v>
      </c>
    </row>
    <row r="36" spans="1:23" x14ac:dyDescent="0.4">
      <c r="A36" s="1" t="str">
        <f t="shared" si="0"/>
        <v>E035</v>
      </c>
      <c r="B36" s="97" t="str">
        <f>VLOOKUP(C36,item!B:C,2,0)</f>
        <v>E</v>
      </c>
      <c r="C36" s="43" t="s">
        <v>751</v>
      </c>
      <c r="D36" s="84" t="s">
        <v>758</v>
      </c>
      <c r="E36" s="85" t="s">
        <v>641</v>
      </c>
      <c r="F36" s="77">
        <v>65042</v>
      </c>
      <c r="G36" s="86" t="s">
        <v>759</v>
      </c>
      <c r="H36" s="77">
        <v>200</v>
      </c>
      <c r="I36" s="48">
        <v>36831</v>
      </c>
      <c r="J36" s="167">
        <f>MONTH(表格1_date[[#This Row],[到職日期]])</f>
        <v>11</v>
      </c>
      <c r="K36" s="77"/>
      <c r="L36" s="150" t="s">
        <v>760</v>
      </c>
      <c r="V36" s="23" t="b">
        <v>0</v>
      </c>
      <c r="W36" s="23" t="b">
        <v>0</v>
      </c>
    </row>
    <row r="37" spans="1:23" x14ac:dyDescent="0.4">
      <c r="A37" s="1" t="str">
        <f t="shared" si="0"/>
        <v>E036</v>
      </c>
      <c r="B37" s="97" t="str">
        <f>VLOOKUP(C37,item!B:C,2,0)</f>
        <v>E</v>
      </c>
      <c r="C37" s="43" t="s">
        <v>751</v>
      </c>
      <c r="D37" s="84" t="s">
        <v>761</v>
      </c>
      <c r="E37" s="85" t="s">
        <v>641</v>
      </c>
      <c r="F37" s="84">
        <v>65041</v>
      </c>
      <c r="G37" s="58" t="s">
        <v>762</v>
      </c>
      <c r="H37" s="84">
        <v>200</v>
      </c>
      <c r="I37" s="48">
        <v>36861</v>
      </c>
      <c r="J37" s="167">
        <f>MONTH(表格1_date[[#This Row],[到職日期]])</f>
        <v>12</v>
      </c>
      <c r="K37" s="84"/>
      <c r="L37" s="150" t="s">
        <v>763</v>
      </c>
      <c r="V37" s="23" t="b">
        <v>1</v>
      </c>
      <c r="W37" s="23" t="b">
        <v>0</v>
      </c>
    </row>
    <row r="38" spans="1:23" x14ac:dyDescent="0.4">
      <c r="A38" s="1" t="str">
        <f t="shared" si="0"/>
        <v>E037</v>
      </c>
      <c r="B38" s="97" t="str">
        <f>VLOOKUP(C38,item!B:C,2,0)</f>
        <v>E</v>
      </c>
      <c r="C38" s="43" t="s">
        <v>751</v>
      </c>
      <c r="D38" s="84"/>
      <c r="E38" s="85"/>
      <c r="F38" s="84">
        <v>65040</v>
      </c>
      <c r="G38" s="58"/>
      <c r="H38" s="84">
        <v>200</v>
      </c>
      <c r="I38" s="48">
        <v>36892</v>
      </c>
      <c r="J38" s="167">
        <f>MONTH(表格1_date[[#This Row],[到職日期]])</f>
        <v>1</v>
      </c>
      <c r="K38" s="84"/>
      <c r="L38" s="150" t="s">
        <v>764</v>
      </c>
      <c r="V38" s="23" t="b">
        <v>0</v>
      </c>
      <c r="W38" s="23" t="b">
        <v>0</v>
      </c>
    </row>
    <row r="39" spans="1:23" x14ac:dyDescent="0.4">
      <c r="A39" s="1" t="str">
        <f t="shared" si="0"/>
        <v>E038</v>
      </c>
      <c r="B39" s="97" t="str">
        <f>VLOOKUP(C39,item!B:C,2,0)</f>
        <v>E</v>
      </c>
      <c r="C39" s="43" t="s">
        <v>751</v>
      </c>
      <c r="D39" s="84" t="s">
        <v>765</v>
      </c>
      <c r="E39" s="85" t="s">
        <v>766</v>
      </c>
      <c r="F39" s="84">
        <v>65039</v>
      </c>
      <c r="G39" s="58" t="s">
        <v>767</v>
      </c>
      <c r="H39" s="84">
        <v>207</v>
      </c>
      <c r="I39" s="48">
        <v>36923</v>
      </c>
      <c r="J39" s="167">
        <f>MONTH(表格1_date[[#This Row],[到職日期]])</f>
        <v>2</v>
      </c>
      <c r="K39" s="84"/>
      <c r="L39" s="150" t="s">
        <v>768</v>
      </c>
      <c r="V39" s="23" t="b">
        <v>0</v>
      </c>
      <c r="W39" s="23" t="b">
        <v>0</v>
      </c>
    </row>
    <row r="40" spans="1:23" x14ac:dyDescent="0.4">
      <c r="A40" s="1" t="str">
        <f t="shared" si="0"/>
        <v>E039</v>
      </c>
      <c r="B40" s="97" t="str">
        <f>VLOOKUP(C40,item!B:C,2,0)</f>
        <v>E</v>
      </c>
      <c r="C40" s="43" t="s">
        <v>751</v>
      </c>
      <c r="D40" s="71"/>
      <c r="E40" s="85"/>
      <c r="F40" s="84">
        <v>65037</v>
      </c>
      <c r="G40" s="58"/>
      <c r="H40" s="84">
        <v>207</v>
      </c>
      <c r="I40" s="48">
        <v>36951</v>
      </c>
      <c r="J40" s="167">
        <f>MONTH(表格1_date[[#This Row],[到職日期]])</f>
        <v>3</v>
      </c>
      <c r="K40" s="72"/>
      <c r="L40" s="150" t="s">
        <v>769</v>
      </c>
      <c r="V40" s="23" t="b">
        <v>0</v>
      </c>
      <c r="W40" s="23" t="b">
        <v>0</v>
      </c>
    </row>
    <row r="41" spans="1:23" x14ac:dyDescent="0.4">
      <c r="A41" s="1" t="str">
        <f t="shared" si="0"/>
        <v>E040</v>
      </c>
      <c r="B41" s="97" t="str">
        <f>VLOOKUP(C41,item!B:C,2,0)</f>
        <v>E</v>
      </c>
      <c r="C41" s="43" t="s">
        <v>751</v>
      </c>
      <c r="D41" s="84" t="s">
        <v>770</v>
      </c>
      <c r="E41" s="85" t="s">
        <v>641</v>
      </c>
      <c r="F41" s="84">
        <v>65517</v>
      </c>
      <c r="G41" s="58" t="s">
        <v>771</v>
      </c>
      <c r="H41" s="84">
        <v>311</v>
      </c>
      <c r="I41" s="48">
        <v>36982</v>
      </c>
      <c r="J41" s="167">
        <f>MONTH(表格1_date[[#This Row],[到職日期]])</f>
        <v>4</v>
      </c>
      <c r="K41" s="84"/>
      <c r="L41" s="150" t="s">
        <v>772</v>
      </c>
      <c r="V41" s="23" t="b">
        <v>0</v>
      </c>
      <c r="W41" s="23" t="b">
        <v>0</v>
      </c>
    </row>
    <row r="42" spans="1:23" x14ac:dyDescent="0.4">
      <c r="A42" s="1" t="str">
        <f t="shared" si="0"/>
        <v>E041</v>
      </c>
      <c r="B42" s="97" t="str">
        <f>VLOOKUP(C42,item!B:C,2,0)</f>
        <v>E</v>
      </c>
      <c r="C42" s="43" t="s">
        <v>751</v>
      </c>
      <c r="D42" s="84" t="s">
        <v>773</v>
      </c>
      <c r="E42" s="85" t="s">
        <v>649</v>
      </c>
      <c r="F42" s="84">
        <v>65514</v>
      </c>
      <c r="G42" s="58" t="s">
        <v>774</v>
      </c>
      <c r="H42" s="84">
        <v>311</v>
      </c>
      <c r="I42" s="48">
        <v>37012</v>
      </c>
      <c r="J42" s="167">
        <f>MONTH(表格1_date[[#This Row],[到職日期]])</f>
        <v>5</v>
      </c>
      <c r="K42" s="84"/>
      <c r="L42" s="150" t="s">
        <v>775</v>
      </c>
      <c r="V42" s="23" t="b">
        <v>0</v>
      </c>
      <c r="W42" s="23" t="b">
        <v>0</v>
      </c>
    </row>
    <row r="43" spans="1:23" x14ac:dyDescent="0.4">
      <c r="A43" s="1" t="str">
        <f t="shared" si="0"/>
        <v>E042</v>
      </c>
      <c r="B43" s="97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167">
        <f>MONTH(表格1_date[[#This Row],[到職日期]])</f>
        <v>6</v>
      </c>
      <c r="K43" s="72"/>
      <c r="L43" s="150" t="s">
        <v>778</v>
      </c>
      <c r="V43" s="23" t="b">
        <v>0</v>
      </c>
      <c r="W43" s="23" t="b">
        <v>0</v>
      </c>
    </row>
    <row r="44" spans="1:23" x14ac:dyDescent="0.4">
      <c r="A44" s="1" t="str">
        <f t="shared" si="0"/>
        <v>E043</v>
      </c>
      <c r="B44" s="97" t="str">
        <f>VLOOKUP(C44,item!B:C,2,0)</f>
        <v>E</v>
      </c>
      <c r="C44" s="43" t="s">
        <v>751</v>
      </c>
      <c r="D44" s="71" t="s">
        <v>779</v>
      </c>
      <c r="E44" s="85" t="s">
        <v>641</v>
      </c>
      <c r="F44" s="84">
        <v>65520</v>
      </c>
      <c r="G44" s="58" t="s">
        <v>780</v>
      </c>
      <c r="H44" s="84">
        <v>311</v>
      </c>
      <c r="I44" s="48">
        <v>37073</v>
      </c>
      <c r="J44" s="167">
        <f>MONTH(表格1_date[[#This Row],[到職日期]])</f>
        <v>7</v>
      </c>
      <c r="K44" s="72"/>
      <c r="L44" s="150" t="s">
        <v>781</v>
      </c>
      <c r="V44" s="23" t="b">
        <v>0</v>
      </c>
      <c r="W44" s="23" t="b">
        <v>0</v>
      </c>
    </row>
    <row r="45" spans="1:23" x14ac:dyDescent="0.4">
      <c r="A45" s="1" t="str">
        <f t="shared" si="0"/>
        <v>E044</v>
      </c>
      <c r="B45" s="97" t="str">
        <f>VLOOKUP(C45,item!B:C,2,0)</f>
        <v>E</v>
      </c>
      <c r="C45" s="95" t="s">
        <v>751</v>
      </c>
      <c r="D45" s="84" t="s">
        <v>782</v>
      </c>
      <c r="E45" s="85" t="s">
        <v>641</v>
      </c>
      <c r="F45" s="84">
        <v>65524</v>
      </c>
      <c r="G45" s="58" t="s">
        <v>783</v>
      </c>
      <c r="H45" s="84">
        <v>311</v>
      </c>
      <c r="I45" s="48">
        <v>37104</v>
      </c>
      <c r="J45" s="167">
        <f>MONTH(表格1_date[[#This Row],[到職日期]])</f>
        <v>8</v>
      </c>
      <c r="K45" s="84"/>
      <c r="L45" s="150" t="s">
        <v>784</v>
      </c>
      <c r="V45" s="23" t="b">
        <v>0</v>
      </c>
      <c r="W45" s="23" t="b">
        <v>0</v>
      </c>
    </row>
    <row r="46" spans="1:23" x14ac:dyDescent="0.4">
      <c r="A46" s="1" t="str">
        <f t="shared" si="0"/>
        <v>E045</v>
      </c>
      <c r="B46" s="97" t="str">
        <f>VLOOKUP(C46,item!B:C,2,0)</f>
        <v>E</v>
      </c>
      <c r="C46" s="95" t="s">
        <v>751</v>
      </c>
      <c r="D46" s="84" t="s">
        <v>785</v>
      </c>
      <c r="E46" s="85" t="s">
        <v>641</v>
      </c>
      <c r="F46" s="84">
        <v>65523</v>
      </c>
      <c r="G46" s="58" t="s">
        <v>786</v>
      </c>
      <c r="H46" s="84">
        <v>311</v>
      </c>
      <c r="I46" s="48">
        <v>37135</v>
      </c>
      <c r="J46" s="167">
        <f>MONTH(表格1_date[[#This Row],[到職日期]])</f>
        <v>9</v>
      </c>
      <c r="K46" s="84"/>
      <c r="L46" s="150" t="s">
        <v>787</v>
      </c>
      <c r="V46" s="23" t="b">
        <v>0</v>
      </c>
      <c r="W46" s="23" t="b">
        <v>0</v>
      </c>
    </row>
    <row r="47" spans="1:23" x14ac:dyDescent="0.4">
      <c r="A47" s="1" t="str">
        <f t="shared" si="0"/>
        <v>E046</v>
      </c>
      <c r="B47" s="97" t="str">
        <f>VLOOKUP(C47,item!B:C,2,0)</f>
        <v>E</v>
      </c>
      <c r="C47" s="95" t="s">
        <v>751</v>
      </c>
      <c r="D47" s="84" t="s">
        <v>788</v>
      </c>
      <c r="E47" s="85" t="s">
        <v>641</v>
      </c>
      <c r="F47" s="84">
        <v>65521</v>
      </c>
      <c r="G47" s="58" t="s">
        <v>789</v>
      </c>
      <c r="H47" s="84">
        <v>315</v>
      </c>
      <c r="I47" s="48">
        <v>37165</v>
      </c>
      <c r="J47" s="167">
        <f>MONTH(表格1_date[[#This Row],[到職日期]])</f>
        <v>10</v>
      </c>
      <c r="K47" s="84"/>
      <c r="L47" s="150" t="s">
        <v>790</v>
      </c>
      <c r="V47" s="23" t="b">
        <v>0</v>
      </c>
      <c r="W47" s="23" t="b">
        <v>0</v>
      </c>
    </row>
    <row r="48" spans="1:23" x14ac:dyDescent="0.4">
      <c r="A48" s="1" t="str">
        <f t="shared" si="0"/>
        <v>E047</v>
      </c>
      <c r="B48" s="97" t="str">
        <f>VLOOKUP(C48,item!B:C,2,0)</f>
        <v>E</v>
      </c>
      <c r="C48" s="95" t="s">
        <v>751</v>
      </c>
      <c r="D48" s="84" t="s">
        <v>791</v>
      </c>
      <c r="E48" s="85" t="s">
        <v>641</v>
      </c>
      <c r="F48" s="84">
        <v>65518</v>
      </c>
      <c r="G48" s="58" t="s">
        <v>792</v>
      </c>
      <c r="H48" s="84">
        <v>315</v>
      </c>
      <c r="I48" s="48">
        <v>37196</v>
      </c>
      <c r="J48" s="167">
        <f>MONTH(表格1_date[[#This Row],[到職日期]])</f>
        <v>11</v>
      </c>
      <c r="K48" s="84"/>
      <c r="L48" s="150" t="s">
        <v>793</v>
      </c>
      <c r="V48" s="23" t="b">
        <v>0</v>
      </c>
      <c r="W48" s="23" t="b">
        <v>0</v>
      </c>
    </row>
    <row r="49" spans="1:23" x14ac:dyDescent="0.4">
      <c r="A49" s="1" t="str">
        <f t="shared" si="0"/>
        <v>E048</v>
      </c>
      <c r="B49" s="97" t="str">
        <f>VLOOKUP(C49,item!B:C,2,0)</f>
        <v>E</v>
      </c>
      <c r="C49" s="95" t="s">
        <v>751</v>
      </c>
      <c r="D49" s="71"/>
      <c r="E49" s="85" t="s">
        <v>641</v>
      </c>
      <c r="F49" s="84">
        <v>65516</v>
      </c>
      <c r="G49" s="58"/>
      <c r="H49" s="84">
        <v>315</v>
      </c>
      <c r="I49" s="48">
        <v>37226</v>
      </c>
      <c r="J49" s="167">
        <f>MONTH(表格1_date[[#This Row],[到職日期]])</f>
        <v>12</v>
      </c>
      <c r="K49" s="72"/>
      <c r="L49" s="150" t="s">
        <v>794</v>
      </c>
      <c r="V49" s="23" t="b">
        <v>1</v>
      </c>
      <c r="W49" s="23" t="b">
        <v>0</v>
      </c>
    </row>
    <row r="50" spans="1:23" x14ac:dyDescent="0.4">
      <c r="A50" s="1" t="str">
        <f t="shared" si="0"/>
        <v>E049</v>
      </c>
      <c r="B50" s="97" t="str">
        <f>VLOOKUP(C50,item!B:C,2,0)</f>
        <v>E</v>
      </c>
      <c r="C50" s="95" t="s">
        <v>751</v>
      </c>
      <c r="D50" s="84" t="s">
        <v>795</v>
      </c>
      <c r="E50" s="85" t="s">
        <v>641</v>
      </c>
      <c r="F50" s="84">
        <v>65056</v>
      </c>
      <c r="G50" s="58" t="s">
        <v>796</v>
      </c>
      <c r="H50" s="84">
        <v>316</v>
      </c>
      <c r="I50" s="48">
        <v>37257</v>
      </c>
      <c r="J50" s="167">
        <f>MONTH(表格1_date[[#This Row],[到職日期]])</f>
        <v>1</v>
      </c>
      <c r="K50" s="84"/>
      <c r="L50" s="150" t="s">
        <v>797</v>
      </c>
      <c r="V50" s="23" t="b">
        <v>0</v>
      </c>
      <c r="W50" s="23" t="b">
        <v>0</v>
      </c>
    </row>
    <row r="51" spans="1:23" x14ac:dyDescent="0.4">
      <c r="A51" s="1" t="str">
        <f t="shared" si="0"/>
        <v>E050</v>
      </c>
      <c r="B51" s="97" t="str">
        <f>VLOOKUP(C51,item!B:C,2,0)</f>
        <v>E</v>
      </c>
      <c r="C51" s="95" t="s">
        <v>751</v>
      </c>
      <c r="D51" s="84" t="s">
        <v>798</v>
      </c>
      <c r="E51" s="85" t="s">
        <v>641</v>
      </c>
      <c r="F51" s="77">
        <v>65032</v>
      </c>
      <c r="G51" s="86" t="s">
        <v>799</v>
      </c>
      <c r="H51" s="77">
        <v>316</v>
      </c>
      <c r="I51" s="48">
        <v>37288</v>
      </c>
      <c r="J51" s="167">
        <f>MONTH(表格1_date[[#This Row],[到職日期]])</f>
        <v>2</v>
      </c>
      <c r="K51" s="77"/>
      <c r="L51" s="150" t="s">
        <v>800</v>
      </c>
      <c r="V51" s="23" t="b">
        <v>0</v>
      </c>
      <c r="W51" s="23" t="b">
        <v>0</v>
      </c>
    </row>
    <row r="52" spans="1:23" x14ac:dyDescent="0.4">
      <c r="A52" s="1" t="str">
        <f t="shared" si="0"/>
        <v>E051</v>
      </c>
      <c r="B52" s="97" t="str">
        <f>VLOOKUP(C52,item!B:C,2,0)</f>
        <v>E</v>
      </c>
      <c r="C52" s="95" t="s">
        <v>751</v>
      </c>
      <c r="D52" s="96" t="s">
        <v>801</v>
      </c>
      <c r="E52" s="85" t="s">
        <v>641</v>
      </c>
      <c r="F52" s="77">
        <v>65025</v>
      </c>
      <c r="G52" s="86" t="s">
        <v>802</v>
      </c>
      <c r="H52" s="77">
        <v>316</v>
      </c>
      <c r="I52" s="48">
        <v>37316</v>
      </c>
      <c r="J52" s="167">
        <f>MONTH(表格1_date[[#This Row],[到職日期]])</f>
        <v>3</v>
      </c>
      <c r="K52" s="77"/>
      <c r="L52" s="150" t="s">
        <v>803</v>
      </c>
      <c r="V52" s="23" t="b">
        <v>0</v>
      </c>
      <c r="W52" s="23" t="b">
        <v>0</v>
      </c>
    </row>
    <row r="53" spans="1:23" ht="30" x14ac:dyDescent="0.4">
      <c r="A53" s="1" t="str">
        <f t="shared" si="0"/>
        <v>E052</v>
      </c>
      <c r="B53" s="97" t="str">
        <f>VLOOKUP(C53,item!B:C,2,0)</f>
        <v>E</v>
      </c>
      <c r="C53" s="95" t="s">
        <v>751</v>
      </c>
      <c r="D53" s="84" t="s">
        <v>804</v>
      </c>
      <c r="E53" s="85" t="s">
        <v>805</v>
      </c>
      <c r="F53" s="77">
        <v>65015</v>
      </c>
      <c r="G53" s="86" t="s">
        <v>806</v>
      </c>
      <c r="H53" s="77">
        <v>407</v>
      </c>
      <c r="I53" s="48">
        <v>37347</v>
      </c>
      <c r="J53" s="167">
        <f>MONTH(表格1_date[[#This Row],[到職日期]])</f>
        <v>4</v>
      </c>
      <c r="K53" s="77"/>
      <c r="L53" s="150" t="s">
        <v>807</v>
      </c>
      <c r="V53" s="23" t="b">
        <v>0</v>
      </c>
      <c r="W53" s="23" t="b">
        <v>0</v>
      </c>
    </row>
    <row r="54" spans="1:23" x14ac:dyDescent="0.4">
      <c r="A54" s="156" t="str">
        <f t="shared" si="0"/>
        <v>E053</v>
      </c>
      <c r="B54" s="157" t="str">
        <f>VLOOKUP(C54,item!B:C,2,0)</f>
        <v>E</v>
      </c>
      <c r="C54" s="113" t="s">
        <v>751</v>
      </c>
      <c r="D54" s="158" t="s">
        <v>808</v>
      </c>
      <c r="E54" s="159" t="s">
        <v>712</v>
      </c>
      <c r="F54" s="157">
        <v>65054</v>
      </c>
      <c r="G54" s="160" t="s">
        <v>809</v>
      </c>
      <c r="H54" s="157">
        <v>409</v>
      </c>
      <c r="I54" s="161">
        <v>37377</v>
      </c>
      <c r="J54" s="168">
        <f>MONTH(表格1_date[[#This Row],[到職日期]])</f>
        <v>5</v>
      </c>
      <c r="K54" s="157"/>
      <c r="L54" s="162" t="s">
        <v>810</v>
      </c>
      <c r="V54" s="23" t="b">
        <v>0</v>
      </c>
      <c r="W54" s="23" t="b">
        <v>0</v>
      </c>
    </row>
    <row r="55" spans="1:23" x14ac:dyDescent="0.4">
      <c r="V55" s="23" t="b">
        <v>0</v>
      </c>
      <c r="W55" s="23" t="b">
        <v>0</v>
      </c>
    </row>
    <row r="56" spans="1:23" x14ac:dyDescent="0.4">
      <c r="V56" s="23" t="b">
        <v>0</v>
      </c>
      <c r="W56" s="23" t="b">
        <v>0</v>
      </c>
    </row>
    <row r="57" spans="1:23" x14ac:dyDescent="0.4">
      <c r="V57" s="23" t="b">
        <v>0</v>
      </c>
      <c r="W57" s="23" t="b">
        <v>0</v>
      </c>
    </row>
    <row r="58" spans="1:23" x14ac:dyDescent="0.4">
      <c r="V58" s="23" t="b">
        <v>0</v>
      </c>
      <c r="W58" s="23" t="b">
        <v>0</v>
      </c>
    </row>
    <row r="59" spans="1:23" x14ac:dyDescent="0.4">
      <c r="V59" s="23" t="b">
        <v>0</v>
      </c>
      <c r="W59" s="23" t="b">
        <v>0</v>
      </c>
    </row>
    <row r="60" spans="1:23" x14ac:dyDescent="0.4">
      <c r="V60" s="23" t="b">
        <v>0</v>
      </c>
      <c r="W60" s="23" t="b">
        <v>0</v>
      </c>
    </row>
    <row r="61" spans="1:23" x14ac:dyDescent="0.4">
      <c r="V61" s="23" t="b">
        <v>1</v>
      </c>
      <c r="W61" s="23" t="b">
        <v>0</v>
      </c>
    </row>
    <row r="62" spans="1:23" x14ac:dyDescent="0.4">
      <c r="V62" s="23" t="b">
        <v>0</v>
      </c>
      <c r="W62" s="23" t="b">
        <v>0</v>
      </c>
    </row>
    <row r="63" spans="1:23" x14ac:dyDescent="0.4">
      <c r="V63" s="23" t="b">
        <v>0</v>
      </c>
      <c r="W63" s="23" t="b">
        <v>0</v>
      </c>
    </row>
    <row r="64" spans="1:23" x14ac:dyDescent="0.4">
      <c r="V64" s="23" t="b">
        <v>0</v>
      </c>
      <c r="W64" s="23" t="b">
        <v>0</v>
      </c>
    </row>
    <row r="65" spans="22:23" x14ac:dyDescent="0.4">
      <c r="V65" s="23" t="b">
        <v>0</v>
      </c>
      <c r="W65" s="23" t="b">
        <v>0</v>
      </c>
    </row>
  </sheetData>
  <phoneticPr fontId="14" type="noConversion"/>
  <conditionalFormatting sqref="C1:D10 K1 F1:I10 J2:K10">
    <cfRule type="expression" dxfId="322" priority="61">
      <formula>#REF!="程式組"</formula>
    </cfRule>
    <cfRule type="expression" dxfId="321" priority="62">
      <formula>#REF!="網路組"</formula>
    </cfRule>
  </conditionalFormatting>
  <conditionalFormatting sqref="C1:D21 K1 F1:I21 J2:K21">
    <cfRule type="expression" dxfId="320" priority="63">
      <formula>#REF!="作業組"</formula>
    </cfRule>
    <cfRule type="expression" dxfId="319" priority="64">
      <formula>#REF!="教學組"</formula>
    </cfRule>
    <cfRule type="expression" dxfId="318" priority="65">
      <formula>#REF!="行政室"</formula>
    </cfRule>
  </conditionalFormatting>
  <conditionalFormatting sqref="C11:D21 F11:K21">
    <cfRule type="expression" dxfId="317" priority="66">
      <formula>#REF!="程式組"</formula>
    </cfRule>
    <cfRule type="expression" dxfId="316" priority="67">
      <formula>#REF!="網路組"</formula>
    </cfRule>
  </conditionalFormatting>
  <conditionalFormatting sqref="I55:J65522 I1:I54 J2:J54">
    <cfRule type="cellIs" dxfId="315" priority="60" stopIfTrue="1" operator="notEqual">
      <formula>#REF!</formula>
    </cfRule>
  </conditionalFormatting>
  <conditionalFormatting sqref="O1 K55:L58 K1:L1 F1:I54 J2:L54 F59:L1048576 C1:E1048576">
    <cfRule type="expression" dxfId="314" priority="55">
      <formula>$A1="程式組"</formula>
    </cfRule>
    <cfRule type="expression" dxfId="313" priority="56">
      <formula>$A1="網路組"</formula>
    </cfRule>
    <cfRule type="expression" dxfId="312" priority="57">
      <formula>$A1="作業組"</formula>
    </cfRule>
    <cfRule type="expression" dxfId="311" priority="58">
      <formula>$A1="教學組"</formula>
    </cfRule>
    <cfRule type="expression" dxfId="310" priority="59">
      <formula>$A1="行政室"</formula>
    </cfRule>
  </conditionalFormatting>
  <conditionalFormatting sqref="O1">
    <cfRule type="cellIs" dxfId="309" priority="49" stopIfTrue="1" operator="notEqual">
      <formula>#REF!</formula>
    </cfRule>
    <cfRule type="expression" dxfId="308" priority="50">
      <formula>#REF!="程式組"</formula>
    </cfRule>
    <cfRule type="expression" dxfId="307" priority="51">
      <formula>#REF!="網路組"</formula>
    </cfRule>
    <cfRule type="expression" dxfId="306" priority="52">
      <formula>#REF!="作業組"</formula>
    </cfRule>
    <cfRule type="expression" dxfId="305" priority="53">
      <formula>#REF!="教學組"</formula>
    </cfRule>
    <cfRule type="expression" dxfId="304" priority="54">
      <formula>#REF!="行政室"</formula>
    </cfRule>
  </conditionalFormatting>
  <conditionalFormatting sqref="O1">
    <cfRule type="expression" dxfId="303" priority="44">
      <formula>#REF!="程式組"</formula>
    </cfRule>
    <cfRule type="expression" dxfId="302" priority="45">
      <formula>#REF!="網路組"</formula>
    </cfRule>
    <cfRule type="expression" dxfId="301" priority="46">
      <formula>#REF!="作業組"</formula>
    </cfRule>
    <cfRule type="expression" dxfId="300" priority="47">
      <formula>#REF!="教學組"</formula>
    </cfRule>
    <cfRule type="expression" dxfId="299" priority="48">
      <formula>#REF!="行政室"</formula>
    </cfRule>
  </conditionalFormatting>
  <conditionalFormatting sqref="V4:AF4">
    <cfRule type="cellIs" dxfId="298" priority="31" stopIfTrue="1" operator="notEqual">
      <formula>#REF!</formula>
    </cfRule>
    <cfRule type="expression" dxfId="297" priority="32">
      <formula>#REF!="程式組"</formula>
    </cfRule>
    <cfRule type="expression" dxfId="296" priority="33">
      <formula>#REF!="網路組"</formula>
    </cfRule>
    <cfRule type="expression" dxfId="295" priority="34">
      <formula>#REF!="作業組"</formula>
    </cfRule>
    <cfRule type="expression" dxfId="294" priority="35">
      <formula>#REF!="教學組"</formula>
    </cfRule>
    <cfRule type="expression" dxfId="293" priority="36">
      <formula>#REF!="行政室"</formula>
    </cfRule>
    <cfRule type="expression" dxfId="292" priority="37">
      <formula>#REF!="程式組"</formula>
    </cfRule>
    <cfRule type="expression" dxfId="291" priority="38">
      <formula>#REF!="網路組"</formula>
    </cfRule>
    <cfRule type="expression" dxfId="290" priority="39">
      <formula>$A12="程式組"</formula>
    </cfRule>
    <cfRule type="expression" dxfId="289" priority="40">
      <formula>$A12="網路組"</formula>
    </cfRule>
    <cfRule type="expression" dxfId="288" priority="41">
      <formula>$A12="作業組"</formula>
    </cfRule>
    <cfRule type="expression" dxfId="287" priority="42">
      <formula>$A12="教學組"</formula>
    </cfRule>
    <cfRule type="expression" dxfId="286" priority="43">
      <formula>$A12="行政室"</formula>
    </cfRule>
  </conditionalFormatting>
  <conditionalFormatting sqref="W1">
    <cfRule type="cellIs" dxfId="285" priority="18" stopIfTrue="1" operator="notEqual">
      <formula>#REF!</formula>
    </cfRule>
    <cfRule type="expression" dxfId="284" priority="19">
      <formula>#REF!="程式組"</formula>
    </cfRule>
    <cfRule type="expression" dxfId="283" priority="20">
      <formula>#REF!="網路組"</formula>
    </cfRule>
    <cfRule type="expression" dxfId="282" priority="21">
      <formula>#REF!="作業組"</formula>
    </cfRule>
    <cfRule type="expression" dxfId="281" priority="22">
      <formula>#REF!="教學組"</formula>
    </cfRule>
    <cfRule type="expression" dxfId="280" priority="23">
      <formula>#REF!="行政室"</formula>
    </cfRule>
    <cfRule type="expression" dxfId="279" priority="24">
      <formula>#REF!="程式組"</formula>
    </cfRule>
    <cfRule type="expression" dxfId="278" priority="25">
      <formula>#REF!="網路組"</formula>
    </cfRule>
    <cfRule type="expression" dxfId="277" priority="26">
      <formula>$A9="程式組"</formula>
    </cfRule>
    <cfRule type="expression" dxfId="276" priority="27">
      <formula>$A9="網路組"</formula>
    </cfRule>
    <cfRule type="expression" dxfId="275" priority="28">
      <formula>$A9="作業組"</formula>
    </cfRule>
    <cfRule type="expression" dxfId="274" priority="29">
      <formula>$A9="教學組"</formula>
    </cfRule>
    <cfRule type="expression" dxfId="273" priority="30">
      <formula>$A9="行政室"</formula>
    </cfRule>
  </conditionalFormatting>
  <conditionalFormatting sqref="E1:E10">
    <cfRule type="expression" dxfId="272" priority="11">
      <formula>#REF!="程式組"</formula>
    </cfRule>
    <cfRule type="expression" dxfId="271" priority="12">
      <formula>#REF!="網路組"</formula>
    </cfRule>
  </conditionalFormatting>
  <conditionalFormatting sqref="E1:E21">
    <cfRule type="expression" dxfId="270" priority="13">
      <formula>#REF!="作業組"</formula>
    </cfRule>
    <cfRule type="expression" dxfId="269" priority="14">
      <formula>#REF!="教學組"</formula>
    </cfRule>
    <cfRule type="expression" dxfId="268" priority="15">
      <formula>#REF!="行政室"</formula>
    </cfRule>
  </conditionalFormatting>
  <conditionalFormatting sqref="E11:E21">
    <cfRule type="expression" dxfId="267" priority="16">
      <formula>#REF!="程式組"</formula>
    </cfRule>
    <cfRule type="expression" dxfId="266" priority="17">
      <formula>#REF!="網路組"</formula>
    </cfRule>
  </conditionalFormatting>
  <conditionalFormatting sqref="E35">
    <cfRule type="expression" dxfId="265" priority="1">
      <formula>#REF!="作業組"</formula>
    </cfRule>
    <cfRule type="expression" dxfId="264" priority="2">
      <formula>#REF!="教學組"</formula>
    </cfRule>
    <cfRule type="expression" dxfId="263" priority="3">
      <formula>#REF!="行政室"</formula>
    </cfRule>
  </conditionalFormatting>
  <conditionalFormatting sqref="E35">
    <cfRule type="expression" dxfId="262" priority="4">
      <formula>#REF!="程式組"</formula>
    </cfRule>
    <cfRule type="expression" dxfId="261" priority="5">
      <formula>#REF!="網路組"</formula>
    </cfRule>
  </conditionalFormatting>
  <dataValidations count="2">
    <dataValidation type="list" allowBlank="1" showInputMessage="1" showErrorMessage="1" sqref="V2" xr:uid="{1AB603C1-1E33-4BE0-91E7-E9FD12723074}">
      <formula1>OFFSET(月份,1,0,COUNTA(月份)-1,1)</formula1>
    </dataValidation>
    <dataValidation type="list" allowBlank="1" showInputMessage="1" showErrorMessage="1" sqref="O2 X5 W2" xr:uid="{296120A7-312C-475F-8704-50ABE139EED7}">
      <formula1>OFFSET(組別,1,0,COUNTA(組別)-1,1)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71B4-4A0C-45CE-AA93-20572D8429B4}">
  <dimension ref="A1:B11"/>
  <sheetViews>
    <sheetView workbookViewId="0">
      <selection activeCell="C13" sqref="C13"/>
    </sheetView>
  </sheetViews>
  <sheetFormatPr defaultRowHeight="15.45" x14ac:dyDescent="0.4"/>
  <cols>
    <col min="1" max="1" width="16" customWidth="1"/>
    <col min="2" max="2" width="55" style="121" customWidth="1"/>
  </cols>
  <sheetData>
    <row r="1" spans="1:2" ht="23.15" x14ac:dyDescent="0.4">
      <c r="A1" s="16" t="s">
        <v>41</v>
      </c>
    </row>
    <row r="2" spans="1:2" ht="22.3" x14ac:dyDescent="0.4">
      <c r="A2" s="7" t="s">
        <v>4</v>
      </c>
    </row>
    <row r="3" spans="1:2" ht="23.15" x14ac:dyDescent="0.4">
      <c r="A3" s="17" t="s">
        <v>3</v>
      </c>
      <c r="B3" s="122" t="s">
        <v>5</v>
      </c>
    </row>
    <row r="5" spans="1:2" ht="18" x14ac:dyDescent="0.4">
      <c r="A5" s="117" t="s">
        <v>6</v>
      </c>
      <c r="B5" s="123" t="s">
        <v>7</v>
      </c>
    </row>
    <row r="6" spans="1:2" ht="18" x14ac:dyDescent="0.4">
      <c r="A6" s="118" t="s">
        <v>8</v>
      </c>
      <c r="B6" s="124" t="s">
        <v>10</v>
      </c>
    </row>
    <row r="7" spans="1:2" ht="18" x14ac:dyDescent="0.4">
      <c r="A7" s="119" t="s">
        <v>9</v>
      </c>
      <c r="B7" s="124"/>
    </row>
    <row r="8" spans="1:2" ht="18" x14ac:dyDescent="0.4">
      <c r="A8" s="120" t="s">
        <v>11</v>
      </c>
      <c r="B8" s="123" t="s">
        <v>12</v>
      </c>
    </row>
    <row r="9" spans="1:2" ht="18" x14ac:dyDescent="0.4">
      <c r="A9" s="117" t="s">
        <v>9</v>
      </c>
      <c r="B9" s="123"/>
    </row>
    <row r="10" spans="1:2" ht="36" x14ac:dyDescent="0.4">
      <c r="A10" s="118" t="s">
        <v>13</v>
      </c>
      <c r="B10" s="124" t="s">
        <v>15</v>
      </c>
    </row>
    <row r="11" spans="1:2" ht="18" x14ac:dyDescent="0.4">
      <c r="A11" s="119" t="s">
        <v>14</v>
      </c>
      <c r="B11" s="124"/>
    </row>
  </sheetData>
  <phoneticPr fontId="1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30DB-02E1-4988-A394-AD654A48C27A}">
  <sheetPr>
    <tabColor rgb="FF92D050"/>
  </sheetPr>
  <dimension ref="A1:P194"/>
  <sheetViews>
    <sheetView workbookViewId="0">
      <pane xSplit="2" ySplit="1" topLeftCell="C2" activePane="bottomRight" state="frozen"/>
      <selection activeCell="I2" sqref="I2"/>
      <selection pane="topRight" activeCell="I2" sqref="I2"/>
      <selection pane="bottomLeft" activeCell="I2" sqref="I2"/>
      <selection pane="bottomRight" activeCell="K6" sqref="K6"/>
    </sheetView>
  </sheetViews>
  <sheetFormatPr defaultColWidth="8.83203125" defaultRowHeight="15.45" x14ac:dyDescent="0.4"/>
  <cols>
    <col min="1" max="1" width="15.33203125" style="23" bestFit="1" customWidth="1"/>
    <col min="2" max="2" width="20.1640625" style="23" bestFit="1" customWidth="1"/>
    <col min="3" max="3" width="20.9140625" style="23" customWidth="1"/>
    <col min="4" max="4" width="10.4140625" style="23" bestFit="1" customWidth="1"/>
    <col min="5" max="6" width="8.83203125" style="23"/>
    <col min="7" max="7" width="16.9140625" style="23" customWidth="1"/>
    <col min="8" max="8" width="12.83203125" style="23" customWidth="1"/>
    <col min="9" max="9" width="17.58203125" style="23" customWidth="1"/>
    <col min="10" max="10" width="13.9140625" style="23" customWidth="1"/>
    <col min="11" max="11" width="17.08203125" style="23" customWidth="1"/>
    <col min="12" max="12" width="7.08203125" style="23" bestFit="1" customWidth="1"/>
    <col min="13" max="14" width="8.83203125" style="23"/>
    <col min="15" max="15" width="15.33203125" style="23" bestFit="1" customWidth="1"/>
    <col min="16" max="16" width="23.33203125" style="23" bestFit="1" customWidth="1"/>
    <col min="17" max="16384" width="8.83203125" style="23"/>
  </cols>
  <sheetData>
    <row r="1" spans="1:16" ht="16.75" x14ac:dyDescent="0.45">
      <c r="A1" s="19" t="s">
        <v>42</v>
      </c>
      <c r="B1" s="20" t="s">
        <v>43</v>
      </c>
      <c r="C1" s="21" t="s">
        <v>44</v>
      </c>
      <c r="D1" s="22" t="s">
        <v>45</v>
      </c>
      <c r="G1" s="20" t="s">
        <v>43</v>
      </c>
      <c r="H1" s="22" t="s">
        <v>45</v>
      </c>
      <c r="I1" s="19" t="s">
        <v>42</v>
      </c>
      <c r="O1" s="20" t="s">
        <v>43</v>
      </c>
      <c r="P1" s="22" t="s">
        <v>45</v>
      </c>
    </row>
    <row r="2" spans="1:16" ht="16.75" x14ac:dyDescent="0.45">
      <c r="A2" s="24" t="s">
        <v>46</v>
      </c>
      <c r="B2" s="24" t="s">
        <v>47</v>
      </c>
      <c r="C2" s="24" t="s">
        <v>48</v>
      </c>
      <c r="D2" s="24">
        <v>376</v>
      </c>
      <c r="G2" s="25" t="s">
        <v>47</v>
      </c>
      <c r="H2" s="26">
        <f xml:space="preserve"> VLOOKUP(G2,B:D,3,FALSE)</f>
        <v>376</v>
      </c>
      <c r="I2" s="23" t="str">
        <f>VLOOKUP(G2,IF({1,0},B:B,A:A),2,0)</f>
        <v>AD</v>
      </c>
      <c r="O2" s="25" t="s">
        <v>47</v>
      </c>
      <c r="P2" s="27" t="s">
        <v>49</v>
      </c>
    </row>
    <row r="3" spans="1:16" ht="16.75" x14ac:dyDescent="0.45">
      <c r="A3" s="24" t="s">
        <v>50</v>
      </c>
      <c r="B3" s="24" t="s">
        <v>51</v>
      </c>
      <c r="C3" s="24" t="s">
        <v>52</v>
      </c>
      <c r="D3" s="24">
        <v>971</v>
      </c>
    </row>
    <row r="4" spans="1:16" ht="16.75" x14ac:dyDescent="0.45">
      <c r="A4" s="24" t="s">
        <v>53</v>
      </c>
      <c r="B4" s="24" t="s">
        <v>54</v>
      </c>
      <c r="C4" s="24" t="s">
        <v>55</v>
      </c>
      <c r="D4" s="24">
        <v>93</v>
      </c>
    </row>
    <row r="5" spans="1:16" ht="16.75" x14ac:dyDescent="0.45">
      <c r="A5" s="24" t="s">
        <v>56</v>
      </c>
      <c r="B5" s="24" t="s">
        <v>57</v>
      </c>
      <c r="C5" s="24" t="s">
        <v>58</v>
      </c>
      <c r="D5" s="24">
        <v>1268</v>
      </c>
    </row>
    <row r="6" spans="1:16" ht="18.45" x14ac:dyDescent="0.45">
      <c r="A6" s="24" t="s">
        <v>59</v>
      </c>
      <c r="B6" s="24" t="s">
        <v>60</v>
      </c>
      <c r="C6" s="24" t="s">
        <v>61</v>
      </c>
      <c r="D6" s="24">
        <v>1264</v>
      </c>
      <c r="J6" s="28" t="str">
        <f>IF(1,B:B,A:A)</f>
        <v>安圭拉岛</v>
      </c>
      <c r="K6" s="29" t="s">
        <v>62</v>
      </c>
      <c r="L6" s="23" t="s">
        <v>63</v>
      </c>
    </row>
    <row r="7" spans="1:16" ht="18.45" x14ac:dyDescent="0.45">
      <c r="A7" s="24" t="s">
        <v>64</v>
      </c>
      <c r="B7" s="24" t="s">
        <v>65</v>
      </c>
      <c r="C7" s="24" t="s">
        <v>66</v>
      </c>
      <c r="D7" s="24">
        <v>355</v>
      </c>
      <c r="J7" s="28" t="str">
        <f>IF(0,B:B,A:A)</f>
        <v>AL</v>
      </c>
      <c r="K7" s="29" t="s">
        <v>67</v>
      </c>
      <c r="L7" s="23" t="s">
        <v>68</v>
      </c>
    </row>
    <row r="8" spans="1:16" ht="16.75" x14ac:dyDescent="0.45">
      <c r="A8" s="24" t="s">
        <v>69</v>
      </c>
      <c r="B8" s="24" t="s">
        <v>70</v>
      </c>
      <c r="C8" s="24" t="s">
        <v>71</v>
      </c>
      <c r="D8" s="24">
        <v>374</v>
      </c>
    </row>
    <row r="9" spans="1:16" ht="16.75" x14ac:dyDescent="0.45">
      <c r="A9" s="24"/>
      <c r="B9" s="24" t="s">
        <v>72</v>
      </c>
      <c r="C9" s="24" t="s">
        <v>73</v>
      </c>
      <c r="D9" s="24">
        <v>247</v>
      </c>
    </row>
    <row r="10" spans="1:16" ht="17.600000000000001" x14ac:dyDescent="0.45">
      <c r="A10" s="24" t="s">
        <v>74</v>
      </c>
      <c r="B10" s="24" t="s">
        <v>75</v>
      </c>
      <c r="C10" s="24" t="s">
        <v>76</v>
      </c>
      <c r="D10" s="24">
        <v>244</v>
      </c>
      <c r="J10" s="30" t="s">
        <v>77</v>
      </c>
    </row>
    <row r="11" spans="1:16" ht="16.75" x14ac:dyDescent="0.45">
      <c r="A11" s="24" t="s">
        <v>78</v>
      </c>
      <c r="B11" s="24" t="s">
        <v>79</v>
      </c>
      <c r="C11" s="24" t="s">
        <v>80</v>
      </c>
      <c r="D11" s="24">
        <v>54</v>
      </c>
    </row>
    <row r="12" spans="1:16" ht="16.75" x14ac:dyDescent="0.45">
      <c r="A12" s="24" t="s">
        <v>81</v>
      </c>
      <c r="B12" s="24" t="s">
        <v>82</v>
      </c>
      <c r="C12" s="24" t="s">
        <v>83</v>
      </c>
      <c r="D12" s="24">
        <v>43</v>
      </c>
      <c r="J12" s="31" t="s">
        <v>84</v>
      </c>
    </row>
    <row r="13" spans="1:16" ht="16.75" x14ac:dyDescent="0.45">
      <c r="A13" s="24" t="s">
        <v>85</v>
      </c>
      <c r="B13" s="24" t="s">
        <v>86</v>
      </c>
      <c r="C13" s="24" t="s">
        <v>87</v>
      </c>
      <c r="D13" s="24">
        <v>61</v>
      </c>
    </row>
    <row r="14" spans="1:16" ht="16.75" x14ac:dyDescent="0.45">
      <c r="A14" s="24" t="s">
        <v>88</v>
      </c>
      <c r="B14" s="24" t="s">
        <v>89</v>
      </c>
      <c r="C14" s="24" t="s">
        <v>90</v>
      </c>
      <c r="D14" s="24">
        <v>994</v>
      </c>
    </row>
    <row r="15" spans="1:16" ht="16.75" x14ac:dyDescent="0.45">
      <c r="A15" s="24" t="s">
        <v>91</v>
      </c>
      <c r="B15" s="24" t="s">
        <v>92</v>
      </c>
      <c r="C15" s="24" t="s">
        <v>93</v>
      </c>
      <c r="D15" s="24">
        <v>1246</v>
      </c>
    </row>
    <row r="16" spans="1:16" ht="16.75" x14ac:dyDescent="0.45">
      <c r="A16" s="24" t="s">
        <v>94</v>
      </c>
      <c r="B16" s="24" t="s">
        <v>95</v>
      </c>
      <c r="C16" s="24" t="s">
        <v>96</v>
      </c>
      <c r="D16" s="24">
        <v>880</v>
      </c>
    </row>
    <row r="17" spans="1:4" ht="16.75" x14ac:dyDescent="0.45">
      <c r="A17" s="24" t="s">
        <v>97</v>
      </c>
      <c r="B17" s="24" t="s">
        <v>98</v>
      </c>
      <c r="C17" s="24" t="s">
        <v>99</v>
      </c>
      <c r="D17" s="24">
        <v>32</v>
      </c>
    </row>
    <row r="18" spans="1:4" ht="16.75" x14ac:dyDescent="0.45">
      <c r="A18" s="24" t="s">
        <v>100</v>
      </c>
      <c r="B18" s="24" t="s">
        <v>101</v>
      </c>
      <c r="C18" s="24" t="s">
        <v>102</v>
      </c>
      <c r="D18" s="24">
        <v>226</v>
      </c>
    </row>
    <row r="19" spans="1:4" ht="16.75" x14ac:dyDescent="0.45">
      <c r="A19" s="24" t="s">
        <v>103</v>
      </c>
      <c r="B19" s="24" t="s">
        <v>104</v>
      </c>
      <c r="C19" s="24" t="s">
        <v>105</v>
      </c>
      <c r="D19" s="24">
        <v>359</v>
      </c>
    </row>
    <row r="20" spans="1:4" ht="16.75" x14ac:dyDescent="0.45">
      <c r="A20" s="24" t="s">
        <v>106</v>
      </c>
      <c r="B20" s="24" t="s">
        <v>107</v>
      </c>
      <c r="C20" s="24" t="s">
        <v>108</v>
      </c>
      <c r="D20" s="24">
        <v>973</v>
      </c>
    </row>
    <row r="21" spans="1:4" ht="16.75" x14ac:dyDescent="0.45">
      <c r="A21" s="24" t="s">
        <v>109</v>
      </c>
      <c r="B21" s="24" t="s">
        <v>110</v>
      </c>
      <c r="C21" s="24" t="s">
        <v>111</v>
      </c>
      <c r="D21" s="24">
        <v>257</v>
      </c>
    </row>
    <row r="22" spans="1:4" ht="16.75" x14ac:dyDescent="0.45">
      <c r="A22" s="24" t="s">
        <v>112</v>
      </c>
      <c r="B22" s="24" t="s">
        <v>113</v>
      </c>
      <c r="C22" s="24" t="s">
        <v>114</v>
      </c>
      <c r="D22" s="24">
        <v>229</v>
      </c>
    </row>
    <row r="23" spans="1:4" ht="16.75" x14ac:dyDescent="0.45">
      <c r="A23" s="24" t="s">
        <v>115</v>
      </c>
      <c r="B23" s="24" t="s">
        <v>116</v>
      </c>
      <c r="C23" s="24" t="s">
        <v>117</v>
      </c>
      <c r="D23" s="24">
        <v>970</v>
      </c>
    </row>
    <row r="24" spans="1:4" ht="16.75" x14ac:dyDescent="0.45">
      <c r="A24" s="24" t="s">
        <v>118</v>
      </c>
      <c r="B24" s="24" t="s">
        <v>119</v>
      </c>
      <c r="C24" s="24" t="s">
        <v>120</v>
      </c>
      <c r="D24" s="24">
        <v>1441</v>
      </c>
    </row>
    <row r="25" spans="1:4" ht="16.75" x14ac:dyDescent="0.45">
      <c r="A25" s="24" t="s">
        <v>121</v>
      </c>
      <c r="B25" s="24" t="s">
        <v>122</v>
      </c>
      <c r="C25" s="24" t="s">
        <v>123</v>
      </c>
      <c r="D25" s="24">
        <v>673</v>
      </c>
    </row>
    <row r="26" spans="1:4" ht="16.75" x14ac:dyDescent="0.45">
      <c r="A26" s="24" t="s">
        <v>124</v>
      </c>
      <c r="B26" s="24" t="s">
        <v>125</v>
      </c>
      <c r="C26" s="24" t="s">
        <v>126</v>
      </c>
      <c r="D26" s="24">
        <v>591</v>
      </c>
    </row>
    <row r="27" spans="1:4" ht="16.75" x14ac:dyDescent="0.45">
      <c r="A27" s="24" t="s">
        <v>127</v>
      </c>
      <c r="B27" s="24" t="s">
        <v>128</v>
      </c>
      <c r="C27" s="24" t="s">
        <v>129</v>
      </c>
      <c r="D27" s="24">
        <v>55</v>
      </c>
    </row>
    <row r="28" spans="1:4" ht="16.75" x14ac:dyDescent="0.45">
      <c r="A28" s="24" t="s">
        <v>130</v>
      </c>
      <c r="B28" s="24" t="s">
        <v>131</v>
      </c>
      <c r="C28" s="24" t="s">
        <v>132</v>
      </c>
      <c r="D28" s="24">
        <v>1242</v>
      </c>
    </row>
    <row r="29" spans="1:4" ht="16.75" x14ac:dyDescent="0.45">
      <c r="A29" s="24" t="s">
        <v>133</v>
      </c>
      <c r="B29" s="24" t="s">
        <v>134</v>
      </c>
      <c r="C29" s="24" t="s">
        <v>135</v>
      </c>
      <c r="D29" s="24">
        <v>267</v>
      </c>
    </row>
    <row r="30" spans="1:4" ht="16.75" x14ac:dyDescent="0.45">
      <c r="A30" s="24" t="s">
        <v>136</v>
      </c>
      <c r="B30" s="24" t="s">
        <v>137</v>
      </c>
      <c r="C30" s="24" t="s">
        <v>138</v>
      </c>
      <c r="D30" s="24">
        <v>375</v>
      </c>
    </row>
    <row r="31" spans="1:4" ht="16.75" x14ac:dyDescent="0.45">
      <c r="A31" s="24" t="s">
        <v>139</v>
      </c>
      <c r="B31" s="24" t="s">
        <v>140</v>
      </c>
      <c r="C31" s="24" t="s">
        <v>141</v>
      </c>
      <c r="D31" s="24">
        <v>501</v>
      </c>
    </row>
    <row r="32" spans="1:4" ht="16.75" x14ac:dyDescent="0.45">
      <c r="A32" s="24" t="s">
        <v>142</v>
      </c>
      <c r="B32" s="24" t="s">
        <v>143</v>
      </c>
      <c r="C32" s="24" t="s">
        <v>144</v>
      </c>
      <c r="D32" s="24">
        <v>1</v>
      </c>
    </row>
    <row r="33" spans="1:4" ht="16.75" x14ac:dyDescent="0.45">
      <c r="A33" s="24"/>
      <c r="B33" s="24" t="s">
        <v>145</v>
      </c>
      <c r="C33" s="24" t="s">
        <v>146</v>
      </c>
      <c r="D33" s="24">
        <v>1345</v>
      </c>
    </row>
    <row r="34" spans="1:4" ht="16.75" x14ac:dyDescent="0.45">
      <c r="A34" s="24" t="s">
        <v>147</v>
      </c>
      <c r="B34" s="24" t="s">
        <v>148</v>
      </c>
      <c r="C34" s="24" t="s">
        <v>149</v>
      </c>
      <c r="D34" s="24">
        <v>236</v>
      </c>
    </row>
    <row r="35" spans="1:4" ht="16.75" x14ac:dyDescent="0.45">
      <c r="A35" s="24" t="s">
        <v>150</v>
      </c>
      <c r="B35" s="24" t="s">
        <v>151</v>
      </c>
      <c r="C35" s="24" t="s">
        <v>152</v>
      </c>
      <c r="D35" s="24">
        <v>242</v>
      </c>
    </row>
    <row r="36" spans="1:4" ht="16.75" x14ac:dyDescent="0.45">
      <c r="A36" s="24" t="s">
        <v>153</v>
      </c>
      <c r="B36" s="24" t="s">
        <v>154</v>
      </c>
      <c r="C36" s="24" t="s">
        <v>155</v>
      </c>
      <c r="D36" s="24">
        <v>41</v>
      </c>
    </row>
    <row r="37" spans="1:4" ht="16.75" x14ac:dyDescent="0.45">
      <c r="A37" s="24" t="s">
        <v>156</v>
      </c>
      <c r="B37" s="24" t="s">
        <v>157</v>
      </c>
      <c r="C37" s="24" t="s">
        <v>158</v>
      </c>
      <c r="D37" s="24">
        <v>682</v>
      </c>
    </row>
    <row r="38" spans="1:4" ht="16.75" x14ac:dyDescent="0.45">
      <c r="A38" s="24" t="s">
        <v>159</v>
      </c>
      <c r="B38" s="24" t="s">
        <v>160</v>
      </c>
      <c r="C38" s="24" t="s">
        <v>161</v>
      </c>
      <c r="D38" s="24">
        <v>56</v>
      </c>
    </row>
    <row r="39" spans="1:4" ht="16.75" x14ac:dyDescent="0.45">
      <c r="A39" s="24" t="s">
        <v>162</v>
      </c>
      <c r="B39" s="24" t="s">
        <v>163</v>
      </c>
      <c r="C39" s="24" t="s">
        <v>164</v>
      </c>
      <c r="D39" s="24">
        <v>237</v>
      </c>
    </row>
    <row r="40" spans="1:4" ht="16.75" x14ac:dyDescent="0.45">
      <c r="A40" s="24" t="s">
        <v>165</v>
      </c>
      <c r="B40" s="24" t="s">
        <v>166</v>
      </c>
      <c r="C40" s="24" t="s">
        <v>167</v>
      </c>
      <c r="D40" s="24">
        <v>86</v>
      </c>
    </row>
    <row r="41" spans="1:4" ht="16.75" x14ac:dyDescent="0.45">
      <c r="A41" s="24" t="s">
        <v>168</v>
      </c>
      <c r="B41" s="24" t="s">
        <v>169</v>
      </c>
      <c r="C41" s="24" t="s">
        <v>170</v>
      </c>
      <c r="D41" s="24">
        <v>57</v>
      </c>
    </row>
    <row r="42" spans="1:4" ht="16.75" x14ac:dyDescent="0.45">
      <c r="A42" s="24" t="s">
        <v>171</v>
      </c>
      <c r="B42" s="24" t="s">
        <v>172</v>
      </c>
      <c r="C42" s="24" t="s">
        <v>173</v>
      </c>
      <c r="D42" s="24">
        <v>506</v>
      </c>
    </row>
    <row r="43" spans="1:4" ht="16.75" x14ac:dyDescent="0.45">
      <c r="A43" s="24" t="s">
        <v>174</v>
      </c>
      <c r="B43" s="24" t="s">
        <v>175</v>
      </c>
      <c r="C43" s="24" t="s">
        <v>176</v>
      </c>
      <c r="D43" s="24">
        <v>420</v>
      </c>
    </row>
    <row r="44" spans="1:4" ht="16.75" x14ac:dyDescent="0.45">
      <c r="A44" s="24" t="s">
        <v>177</v>
      </c>
      <c r="B44" s="24" t="s">
        <v>178</v>
      </c>
      <c r="C44" s="24" t="s">
        <v>179</v>
      </c>
      <c r="D44" s="24">
        <v>53</v>
      </c>
    </row>
    <row r="45" spans="1:4" ht="16.75" x14ac:dyDescent="0.45">
      <c r="A45" s="24" t="s">
        <v>180</v>
      </c>
      <c r="B45" s="24" t="s">
        <v>181</v>
      </c>
      <c r="C45" s="24" t="s">
        <v>182</v>
      </c>
      <c r="D45" s="24">
        <v>357</v>
      </c>
    </row>
    <row r="46" spans="1:4" ht="16.75" x14ac:dyDescent="0.45">
      <c r="A46" s="24" t="s">
        <v>183</v>
      </c>
      <c r="B46" s="24" t="s">
        <v>175</v>
      </c>
      <c r="C46" s="24" t="s">
        <v>184</v>
      </c>
      <c r="D46" s="24">
        <v>420</v>
      </c>
    </row>
    <row r="47" spans="1:4" ht="16.75" x14ac:dyDescent="0.45">
      <c r="A47" s="24" t="s">
        <v>185</v>
      </c>
      <c r="B47" s="24" t="s">
        <v>186</v>
      </c>
      <c r="C47" s="24" t="s">
        <v>187</v>
      </c>
      <c r="D47" s="24">
        <v>49</v>
      </c>
    </row>
    <row r="48" spans="1:4" ht="16.75" x14ac:dyDescent="0.45">
      <c r="A48" s="24" t="s">
        <v>188</v>
      </c>
      <c r="B48" s="24" t="s">
        <v>189</v>
      </c>
      <c r="C48" s="24" t="s">
        <v>190</v>
      </c>
      <c r="D48" s="24">
        <v>253</v>
      </c>
    </row>
    <row r="49" spans="1:4" ht="16.75" x14ac:dyDescent="0.45">
      <c r="A49" s="24" t="s">
        <v>191</v>
      </c>
      <c r="B49" s="24" t="s">
        <v>192</v>
      </c>
      <c r="C49" s="24" t="s">
        <v>193</v>
      </c>
      <c r="D49" s="24">
        <v>45</v>
      </c>
    </row>
    <row r="50" spans="1:4" ht="16.75" x14ac:dyDescent="0.45">
      <c r="A50" s="24" t="s">
        <v>194</v>
      </c>
      <c r="B50" s="24" t="s">
        <v>195</v>
      </c>
      <c r="C50" s="24" t="s">
        <v>196</v>
      </c>
      <c r="D50" s="24">
        <v>1890</v>
      </c>
    </row>
    <row r="51" spans="1:4" ht="16.75" x14ac:dyDescent="0.45">
      <c r="A51" s="24" t="s">
        <v>197</v>
      </c>
      <c r="B51" s="24" t="s">
        <v>198</v>
      </c>
      <c r="C51" s="24" t="s">
        <v>199</v>
      </c>
      <c r="D51" s="24">
        <v>213</v>
      </c>
    </row>
    <row r="52" spans="1:4" ht="16.75" x14ac:dyDescent="0.45">
      <c r="A52" s="24" t="s">
        <v>200</v>
      </c>
      <c r="B52" s="24" t="s">
        <v>201</v>
      </c>
      <c r="C52" s="24" t="s">
        <v>202</v>
      </c>
      <c r="D52" s="24">
        <v>593</v>
      </c>
    </row>
    <row r="53" spans="1:4" ht="16.75" x14ac:dyDescent="0.45">
      <c r="A53" s="24" t="s">
        <v>203</v>
      </c>
      <c r="B53" s="24" t="s">
        <v>204</v>
      </c>
      <c r="C53" s="24" t="s">
        <v>205</v>
      </c>
      <c r="D53" s="24">
        <v>372</v>
      </c>
    </row>
    <row r="54" spans="1:4" ht="16.75" x14ac:dyDescent="0.45">
      <c r="A54" s="24" t="s">
        <v>206</v>
      </c>
      <c r="B54" s="24" t="s">
        <v>207</v>
      </c>
      <c r="C54" s="24" t="s">
        <v>208</v>
      </c>
      <c r="D54" s="24">
        <v>20</v>
      </c>
    </row>
    <row r="55" spans="1:4" ht="16.75" x14ac:dyDescent="0.45">
      <c r="A55" s="24" t="s">
        <v>209</v>
      </c>
      <c r="B55" s="24" t="s">
        <v>210</v>
      </c>
      <c r="C55" s="24" t="s">
        <v>211</v>
      </c>
      <c r="D55" s="24">
        <v>34</v>
      </c>
    </row>
    <row r="56" spans="1:4" ht="16.75" x14ac:dyDescent="0.45">
      <c r="A56" s="24" t="s">
        <v>212</v>
      </c>
      <c r="B56" s="24" t="s">
        <v>213</v>
      </c>
      <c r="C56" s="24" t="s">
        <v>214</v>
      </c>
      <c r="D56" s="24">
        <v>251</v>
      </c>
    </row>
    <row r="57" spans="1:4" ht="16.75" x14ac:dyDescent="0.45">
      <c r="A57" s="24" t="s">
        <v>215</v>
      </c>
      <c r="B57" s="24" t="s">
        <v>216</v>
      </c>
      <c r="C57" s="24" t="s">
        <v>217</v>
      </c>
      <c r="D57" s="24">
        <v>358</v>
      </c>
    </row>
    <row r="58" spans="1:4" ht="16.75" x14ac:dyDescent="0.45">
      <c r="A58" s="24" t="s">
        <v>218</v>
      </c>
      <c r="B58" s="24" t="s">
        <v>219</v>
      </c>
      <c r="C58" s="24" t="s">
        <v>220</v>
      </c>
      <c r="D58" s="24">
        <v>679</v>
      </c>
    </row>
    <row r="59" spans="1:4" ht="16.75" x14ac:dyDescent="0.45">
      <c r="A59" s="24" t="s">
        <v>221</v>
      </c>
      <c r="B59" s="24" t="s">
        <v>222</v>
      </c>
      <c r="C59" s="24" t="s">
        <v>223</v>
      </c>
      <c r="D59" s="24">
        <v>33</v>
      </c>
    </row>
    <row r="60" spans="1:4" ht="16.75" x14ac:dyDescent="0.45">
      <c r="A60" s="24" t="s">
        <v>224</v>
      </c>
      <c r="B60" s="24" t="s">
        <v>225</v>
      </c>
      <c r="C60" s="24" t="s">
        <v>226</v>
      </c>
      <c r="D60" s="24">
        <v>241</v>
      </c>
    </row>
    <row r="61" spans="1:4" ht="16.75" x14ac:dyDescent="0.45">
      <c r="A61" s="24" t="s">
        <v>227</v>
      </c>
      <c r="B61" s="24" t="s">
        <v>228</v>
      </c>
      <c r="C61" s="24" t="s">
        <v>229</v>
      </c>
      <c r="D61" s="24">
        <v>44</v>
      </c>
    </row>
    <row r="62" spans="1:4" ht="16.75" x14ac:dyDescent="0.45">
      <c r="A62" s="24" t="s">
        <v>230</v>
      </c>
      <c r="B62" s="24" t="s">
        <v>231</v>
      </c>
      <c r="C62" s="24" t="s">
        <v>232</v>
      </c>
      <c r="D62" s="24">
        <v>1809</v>
      </c>
    </row>
    <row r="63" spans="1:4" ht="16.75" x14ac:dyDescent="0.45">
      <c r="A63" s="24" t="s">
        <v>233</v>
      </c>
      <c r="B63" s="24" t="s">
        <v>234</v>
      </c>
      <c r="C63" s="24" t="s">
        <v>235</v>
      </c>
      <c r="D63" s="24">
        <v>995</v>
      </c>
    </row>
    <row r="64" spans="1:4" ht="16.75" x14ac:dyDescent="0.45">
      <c r="A64" s="24" t="s">
        <v>236</v>
      </c>
      <c r="B64" s="24" t="s">
        <v>237</v>
      </c>
      <c r="C64" s="24" t="s">
        <v>238</v>
      </c>
      <c r="D64" s="24">
        <v>594</v>
      </c>
    </row>
    <row r="65" spans="1:4" ht="16.75" x14ac:dyDescent="0.45">
      <c r="A65" s="24" t="s">
        <v>239</v>
      </c>
      <c r="B65" s="24" t="s">
        <v>240</v>
      </c>
      <c r="C65" s="24" t="s">
        <v>241</v>
      </c>
      <c r="D65" s="24">
        <v>233</v>
      </c>
    </row>
    <row r="66" spans="1:4" ht="16.75" x14ac:dyDescent="0.45">
      <c r="A66" s="24" t="s">
        <v>242</v>
      </c>
      <c r="B66" s="24" t="s">
        <v>243</v>
      </c>
      <c r="C66" s="24" t="s">
        <v>244</v>
      </c>
      <c r="D66" s="24">
        <v>350</v>
      </c>
    </row>
    <row r="67" spans="1:4" ht="16.75" x14ac:dyDescent="0.45">
      <c r="A67" s="24" t="s">
        <v>245</v>
      </c>
      <c r="B67" s="24" t="s">
        <v>246</v>
      </c>
      <c r="C67" s="24" t="s">
        <v>247</v>
      </c>
      <c r="D67" s="24">
        <v>220</v>
      </c>
    </row>
    <row r="68" spans="1:4" ht="16.75" x14ac:dyDescent="0.45">
      <c r="A68" s="24" t="s">
        <v>248</v>
      </c>
      <c r="B68" s="24" t="s">
        <v>249</v>
      </c>
      <c r="C68" s="24" t="s">
        <v>250</v>
      </c>
      <c r="D68" s="24">
        <v>224</v>
      </c>
    </row>
    <row r="69" spans="1:4" ht="16.75" x14ac:dyDescent="0.45">
      <c r="A69" s="24" t="s">
        <v>251</v>
      </c>
      <c r="B69" s="24" t="s">
        <v>252</v>
      </c>
      <c r="C69" s="24" t="s">
        <v>253</v>
      </c>
      <c r="D69" s="24">
        <v>30</v>
      </c>
    </row>
    <row r="70" spans="1:4" ht="16.75" x14ac:dyDescent="0.45">
      <c r="A70" s="24" t="s">
        <v>254</v>
      </c>
      <c r="B70" s="24" t="s">
        <v>255</v>
      </c>
      <c r="C70" s="24" t="s">
        <v>256</v>
      </c>
      <c r="D70" s="24">
        <v>502</v>
      </c>
    </row>
    <row r="71" spans="1:4" ht="16.75" x14ac:dyDescent="0.45">
      <c r="A71" s="24" t="s">
        <v>257</v>
      </c>
      <c r="B71" s="24" t="s">
        <v>258</v>
      </c>
      <c r="C71" s="24" t="s">
        <v>259</v>
      </c>
      <c r="D71" s="24">
        <v>1671</v>
      </c>
    </row>
    <row r="72" spans="1:4" ht="16.75" x14ac:dyDescent="0.45">
      <c r="A72" s="24" t="s">
        <v>260</v>
      </c>
      <c r="B72" s="24" t="s">
        <v>261</v>
      </c>
      <c r="C72" s="24" t="s">
        <v>262</v>
      </c>
      <c r="D72" s="24">
        <v>592</v>
      </c>
    </row>
    <row r="73" spans="1:4" ht="16.75" x14ac:dyDescent="0.45">
      <c r="A73" s="24" t="s">
        <v>263</v>
      </c>
      <c r="B73" s="24" t="s">
        <v>264</v>
      </c>
      <c r="C73" s="24" t="s">
        <v>265</v>
      </c>
      <c r="D73" s="24">
        <v>852</v>
      </c>
    </row>
    <row r="74" spans="1:4" ht="16.75" x14ac:dyDescent="0.45">
      <c r="A74" s="24" t="s">
        <v>266</v>
      </c>
      <c r="B74" s="24" t="s">
        <v>267</v>
      </c>
      <c r="C74" s="24" t="s">
        <v>268</v>
      </c>
      <c r="D74" s="24">
        <v>504</v>
      </c>
    </row>
    <row r="75" spans="1:4" ht="16.75" x14ac:dyDescent="0.45">
      <c r="A75" s="24" t="s">
        <v>269</v>
      </c>
      <c r="B75" s="24" t="s">
        <v>270</v>
      </c>
      <c r="C75" s="24" t="s">
        <v>271</v>
      </c>
      <c r="D75" s="24">
        <v>509</v>
      </c>
    </row>
    <row r="76" spans="1:4" ht="16.75" x14ac:dyDescent="0.45">
      <c r="A76" s="24" t="s">
        <v>272</v>
      </c>
      <c r="B76" s="24" t="s">
        <v>273</v>
      </c>
      <c r="C76" s="24" t="s">
        <v>274</v>
      </c>
      <c r="D76" s="24">
        <v>36</v>
      </c>
    </row>
    <row r="77" spans="1:4" ht="16.75" x14ac:dyDescent="0.45">
      <c r="A77" s="24" t="s">
        <v>275</v>
      </c>
      <c r="B77" s="24" t="s">
        <v>276</v>
      </c>
      <c r="C77" s="24" t="s">
        <v>277</v>
      </c>
      <c r="D77" s="24">
        <v>62</v>
      </c>
    </row>
    <row r="78" spans="1:4" ht="16.75" x14ac:dyDescent="0.45">
      <c r="A78" s="24" t="s">
        <v>278</v>
      </c>
      <c r="B78" s="24" t="s">
        <v>279</v>
      </c>
      <c r="C78" s="24" t="s">
        <v>280</v>
      </c>
      <c r="D78" s="24">
        <v>353</v>
      </c>
    </row>
    <row r="79" spans="1:4" ht="16.75" x14ac:dyDescent="0.45">
      <c r="A79" s="24" t="s">
        <v>281</v>
      </c>
      <c r="B79" s="24" t="s">
        <v>282</v>
      </c>
      <c r="C79" s="24" t="s">
        <v>283</v>
      </c>
      <c r="D79" s="24">
        <v>972</v>
      </c>
    </row>
    <row r="80" spans="1:4" ht="16.75" x14ac:dyDescent="0.45">
      <c r="A80" s="24" t="s">
        <v>284</v>
      </c>
      <c r="B80" s="24" t="s">
        <v>285</v>
      </c>
      <c r="C80" s="24" t="s">
        <v>286</v>
      </c>
      <c r="D80" s="24">
        <v>91</v>
      </c>
    </row>
    <row r="81" spans="1:4" ht="16.75" x14ac:dyDescent="0.45">
      <c r="A81" s="24" t="s">
        <v>287</v>
      </c>
      <c r="B81" s="24" t="s">
        <v>288</v>
      </c>
      <c r="C81" s="24" t="s">
        <v>289</v>
      </c>
      <c r="D81" s="24">
        <v>964</v>
      </c>
    </row>
    <row r="82" spans="1:4" ht="16.75" x14ac:dyDescent="0.45">
      <c r="A82" s="24" t="s">
        <v>290</v>
      </c>
      <c r="B82" s="24" t="s">
        <v>291</v>
      </c>
      <c r="C82" s="24" t="s">
        <v>292</v>
      </c>
      <c r="D82" s="24">
        <v>98</v>
      </c>
    </row>
    <row r="83" spans="1:4" ht="16.75" x14ac:dyDescent="0.45">
      <c r="A83" s="24" t="s">
        <v>293</v>
      </c>
      <c r="B83" s="24" t="s">
        <v>294</v>
      </c>
      <c r="C83" s="24" t="s">
        <v>295</v>
      </c>
      <c r="D83" s="24">
        <v>354</v>
      </c>
    </row>
    <row r="84" spans="1:4" ht="16.75" x14ac:dyDescent="0.45">
      <c r="A84" s="24" t="s">
        <v>296</v>
      </c>
      <c r="B84" s="24" t="s">
        <v>297</v>
      </c>
      <c r="C84" s="24" t="s">
        <v>298</v>
      </c>
      <c r="D84" s="24">
        <v>39</v>
      </c>
    </row>
    <row r="85" spans="1:4" ht="16.75" x14ac:dyDescent="0.45">
      <c r="A85" s="24"/>
      <c r="B85" s="24" t="s">
        <v>299</v>
      </c>
      <c r="C85" s="24" t="s">
        <v>300</v>
      </c>
      <c r="D85" s="24">
        <v>225</v>
      </c>
    </row>
    <row r="86" spans="1:4" ht="16.75" x14ac:dyDescent="0.45">
      <c r="A86" s="24" t="s">
        <v>301</v>
      </c>
      <c r="B86" s="24" t="s">
        <v>302</v>
      </c>
      <c r="C86" s="24" t="s">
        <v>303</v>
      </c>
      <c r="D86" s="24">
        <v>1876</v>
      </c>
    </row>
    <row r="87" spans="1:4" ht="16.75" x14ac:dyDescent="0.45">
      <c r="A87" s="24" t="s">
        <v>304</v>
      </c>
      <c r="B87" s="24" t="s">
        <v>305</v>
      </c>
      <c r="C87" s="24" t="s">
        <v>306</v>
      </c>
      <c r="D87" s="24">
        <v>962</v>
      </c>
    </row>
    <row r="88" spans="1:4" ht="16.75" x14ac:dyDescent="0.45">
      <c r="A88" s="24" t="s">
        <v>307</v>
      </c>
      <c r="B88" s="24" t="s">
        <v>308</v>
      </c>
      <c r="C88" s="24" t="s">
        <v>309</v>
      </c>
      <c r="D88" s="24">
        <v>81</v>
      </c>
    </row>
    <row r="89" spans="1:4" ht="16.75" x14ac:dyDescent="0.45">
      <c r="A89" s="24" t="s">
        <v>310</v>
      </c>
      <c r="B89" s="24" t="s">
        <v>311</v>
      </c>
      <c r="C89" s="24" t="s">
        <v>312</v>
      </c>
      <c r="D89" s="24">
        <v>254</v>
      </c>
    </row>
    <row r="90" spans="1:4" ht="16.75" x14ac:dyDescent="0.45">
      <c r="A90" s="24" t="s">
        <v>313</v>
      </c>
      <c r="B90" s="24" t="s">
        <v>314</v>
      </c>
      <c r="C90" s="24" t="s">
        <v>315</v>
      </c>
      <c r="D90" s="24">
        <v>331</v>
      </c>
    </row>
    <row r="91" spans="1:4" ht="16.75" x14ac:dyDescent="0.45">
      <c r="A91" s="24" t="s">
        <v>316</v>
      </c>
      <c r="B91" s="24" t="s">
        <v>317</v>
      </c>
      <c r="C91" s="24" t="s">
        <v>318</v>
      </c>
      <c r="D91" s="24">
        <v>855</v>
      </c>
    </row>
    <row r="92" spans="1:4" ht="16.75" x14ac:dyDescent="0.45">
      <c r="A92" s="24" t="s">
        <v>319</v>
      </c>
      <c r="B92" s="24" t="s">
        <v>320</v>
      </c>
      <c r="C92" s="24" t="s">
        <v>321</v>
      </c>
      <c r="D92" s="24">
        <v>850</v>
      </c>
    </row>
    <row r="93" spans="1:4" ht="16.75" x14ac:dyDescent="0.45">
      <c r="A93" s="24" t="s">
        <v>322</v>
      </c>
      <c r="B93" s="24" t="s">
        <v>323</v>
      </c>
      <c r="C93" s="24" t="s">
        <v>324</v>
      </c>
      <c r="D93" s="24">
        <v>82</v>
      </c>
    </row>
    <row r="94" spans="1:4" ht="16.75" x14ac:dyDescent="0.45">
      <c r="A94" s="24" t="s">
        <v>325</v>
      </c>
      <c r="B94" s="24" t="s">
        <v>326</v>
      </c>
      <c r="C94" s="24" t="s">
        <v>327</v>
      </c>
      <c r="D94" s="24">
        <v>225</v>
      </c>
    </row>
    <row r="95" spans="1:4" ht="16.75" x14ac:dyDescent="0.45">
      <c r="A95" s="24" t="s">
        <v>328</v>
      </c>
      <c r="B95" s="24" t="s">
        <v>329</v>
      </c>
      <c r="C95" s="24" t="s">
        <v>330</v>
      </c>
      <c r="D95" s="24">
        <v>965</v>
      </c>
    </row>
    <row r="96" spans="1:4" ht="16.75" x14ac:dyDescent="0.45">
      <c r="A96" s="24" t="s">
        <v>331</v>
      </c>
      <c r="B96" s="24" t="s">
        <v>332</v>
      </c>
      <c r="C96" s="24" t="s">
        <v>333</v>
      </c>
      <c r="D96" s="24">
        <v>327</v>
      </c>
    </row>
    <row r="97" spans="1:4" ht="16.75" x14ac:dyDescent="0.45">
      <c r="A97" s="24" t="s">
        <v>334</v>
      </c>
      <c r="B97" s="24" t="s">
        <v>335</v>
      </c>
      <c r="C97" s="24" t="s">
        <v>336</v>
      </c>
      <c r="D97" s="24">
        <v>856</v>
      </c>
    </row>
    <row r="98" spans="1:4" ht="16.75" x14ac:dyDescent="0.45">
      <c r="A98" s="24" t="s">
        <v>337</v>
      </c>
      <c r="B98" s="24" t="s">
        <v>338</v>
      </c>
      <c r="C98" s="24" t="s">
        <v>339</v>
      </c>
      <c r="D98" s="24">
        <v>961</v>
      </c>
    </row>
    <row r="99" spans="1:4" ht="16.75" x14ac:dyDescent="0.45">
      <c r="A99" s="24" t="s">
        <v>340</v>
      </c>
      <c r="B99" s="24" t="s">
        <v>341</v>
      </c>
      <c r="C99" s="24" t="s">
        <v>342</v>
      </c>
      <c r="D99" s="24">
        <v>1758</v>
      </c>
    </row>
    <row r="100" spans="1:4" ht="16.75" x14ac:dyDescent="0.45">
      <c r="A100" s="24" t="s">
        <v>343</v>
      </c>
      <c r="B100" s="24" t="s">
        <v>344</v>
      </c>
      <c r="C100" s="24" t="s">
        <v>345</v>
      </c>
      <c r="D100" s="24">
        <v>423</v>
      </c>
    </row>
    <row r="101" spans="1:4" ht="16.75" x14ac:dyDescent="0.45">
      <c r="A101" s="24" t="s">
        <v>346</v>
      </c>
      <c r="B101" s="24" t="s">
        <v>347</v>
      </c>
      <c r="C101" s="24" t="s">
        <v>348</v>
      </c>
      <c r="D101" s="24">
        <v>94</v>
      </c>
    </row>
    <row r="102" spans="1:4" ht="16.75" x14ac:dyDescent="0.45">
      <c r="A102" s="24" t="s">
        <v>349</v>
      </c>
      <c r="B102" s="24" t="s">
        <v>350</v>
      </c>
      <c r="C102" s="24" t="s">
        <v>351</v>
      </c>
      <c r="D102" s="24">
        <v>231</v>
      </c>
    </row>
    <row r="103" spans="1:4" ht="16.75" x14ac:dyDescent="0.45">
      <c r="A103" s="24" t="s">
        <v>352</v>
      </c>
      <c r="B103" s="24" t="s">
        <v>353</v>
      </c>
      <c r="C103" s="24" t="s">
        <v>354</v>
      </c>
      <c r="D103" s="24">
        <v>266</v>
      </c>
    </row>
    <row r="104" spans="1:4" ht="16.75" x14ac:dyDescent="0.45">
      <c r="A104" s="24" t="s">
        <v>355</v>
      </c>
      <c r="B104" s="24" t="s">
        <v>356</v>
      </c>
      <c r="C104" s="24" t="s">
        <v>357</v>
      </c>
      <c r="D104" s="24">
        <v>370</v>
      </c>
    </row>
    <row r="105" spans="1:4" ht="16.75" x14ac:dyDescent="0.45">
      <c r="A105" s="24" t="s">
        <v>358</v>
      </c>
      <c r="B105" s="24" t="s">
        <v>359</v>
      </c>
      <c r="C105" s="24" t="s">
        <v>360</v>
      </c>
      <c r="D105" s="24">
        <v>352</v>
      </c>
    </row>
    <row r="106" spans="1:4" ht="16.75" x14ac:dyDescent="0.45">
      <c r="A106" s="24" t="s">
        <v>361</v>
      </c>
      <c r="B106" s="24" t="s">
        <v>362</v>
      </c>
      <c r="C106" s="24" t="s">
        <v>363</v>
      </c>
      <c r="D106" s="24">
        <v>371</v>
      </c>
    </row>
    <row r="107" spans="1:4" ht="16.75" x14ac:dyDescent="0.45">
      <c r="A107" s="24" t="s">
        <v>364</v>
      </c>
      <c r="B107" s="24" t="s">
        <v>365</v>
      </c>
      <c r="C107" s="24" t="s">
        <v>366</v>
      </c>
      <c r="D107" s="24">
        <v>218</v>
      </c>
    </row>
    <row r="108" spans="1:4" ht="16.75" x14ac:dyDescent="0.45">
      <c r="A108" s="24" t="s">
        <v>367</v>
      </c>
      <c r="B108" s="24" t="s">
        <v>368</v>
      </c>
      <c r="C108" s="24" t="s">
        <v>369</v>
      </c>
      <c r="D108" s="24">
        <v>212</v>
      </c>
    </row>
    <row r="109" spans="1:4" ht="16.75" x14ac:dyDescent="0.45">
      <c r="A109" s="24" t="s">
        <v>370</v>
      </c>
      <c r="B109" s="24" t="s">
        <v>371</v>
      </c>
      <c r="C109" s="24" t="s">
        <v>372</v>
      </c>
      <c r="D109" s="24">
        <v>377</v>
      </c>
    </row>
    <row r="110" spans="1:4" ht="16.75" x14ac:dyDescent="0.45">
      <c r="A110" s="24" t="s">
        <v>373</v>
      </c>
      <c r="B110" s="24" t="s">
        <v>374</v>
      </c>
      <c r="C110" s="24" t="s">
        <v>375</v>
      </c>
      <c r="D110" s="24">
        <v>373</v>
      </c>
    </row>
    <row r="111" spans="1:4" ht="16.75" x14ac:dyDescent="0.45">
      <c r="A111" s="24" t="s">
        <v>376</v>
      </c>
      <c r="B111" s="24" t="s">
        <v>377</v>
      </c>
      <c r="C111" s="24" t="s">
        <v>378</v>
      </c>
      <c r="D111" s="24">
        <v>261</v>
      </c>
    </row>
    <row r="112" spans="1:4" ht="16.75" x14ac:dyDescent="0.45">
      <c r="A112" s="24" t="s">
        <v>379</v>
      </c>
      <c r="B112" s="24" t="s">
        <v>380</v>
      </c>
      <c r="C112" s="24" t="s">
        <v>381</v>
      </c>
      <c r="D112" s="24">
        <v>223</v>
      </c>
    </row>
    <row r="113" spans="1:4" ht="16.75" x14ac:dyDescent="0.45">
      <c r="A113" s="24" t="s">
        <v>382</v>
      </c>
      <c r="B113" s="24" t="s">
        <v>383</v>
      </c>
      <c r="C113" s="24" t="s">
        <v>384</v>
      </c>
      <c r="D113" s="24">
        <v>95</v>
      </c>
    </row>
    <row r="114" spans="1:4" ht="16.75" x14ac:dyDescent="0.45">
      <c r="A114" s="24" t="s">
        <v>385</v>
      </c>
      <c r="B114" s="24" t="s">
        <v>386</v>
      </c>
      <c r="C114" s="24" t="s">
        <v>387</v>
      </c>
      <c r="D114" s="24">
        <v>976</v>
      </c>
    </row>
    <row r="115" spans="1:4" ht="16.75" x14ac:dyDescent="0.45">
      <c r="A115" s="24" t="s">
        <v>388</v>
      </c>
      <c r="B115" s="24" t="s">
        <v>389</v>
      </c>
      <c r="C115" s="24" t="s">
        <v>390</v>
      </c>
      <c r="D115" s="24">
        <v>853</v>
      </c>
    </row>
    <row r="116" spans="1:4" ht="16.75" x14ac:dyDescent="0.45">
      <c r="A116" s="24" t="s">
        <v>391</v>
      </c>
      <c r="B116" s="24" t="s">
        <v>392</v>
      </c>
      <c r="C116" s="24" t="s">
        <v>393</v>
      </c>
      <c r="D116" s="24">
        <v>1664</v>
      </c>
    </row>
    <row r="117" spans="1:4" ht="16.75" x14ac:dyDescent="0.45">
      <c r="A117" s="24" t="s">
        <v>394</v>
      </c>
      <c r="B117" s="24" t="s">
        <v>395</v>
      </c>
      <c r="C117" s="24" t="s">
        <v>396</v>
      </c>
      <c r="D117" s="24">
        <v>356</v>
      </c>
    </row>
    <row r="118" spans="1:4" ht="16.75" x14ac:dyDescent="0.45">
      <c r="A118" s="24"/>
      <c r="B118" s="24" t="s">
        <v>397</v>
      </c>
      <c r="C118" s="24" t="s">
        <v>398</v>
      </c>
      <c r="D118" s="24">
        <v>1670</v>
      </c>
    </row>
    <row r="119" spans="1:4" ht="16.75" x14ac:dyDescent="0.45">
      <c r="A119" s="24"/>
      <c r="B119" s="24" t="s">
        <v>399</v>
      </c>
      <c r="C119" s="24" t="s">
        <v>400</v>
      </c>
      <c r="D119" s="24">
        <v>596</v>
      </c>
    </row>
    <row r="120" spans="1:4" ht="16.75" x14ac:dyDescent="0.45">
      <c r="A120" s="24" t="s">
        <v>401</v>
      </c>
      <c r="B120" s="24" t="s">
        <v>402</v>
      </c>
      <c r="C120" s="24" t="s">
        <v>403</v>
      </c>
      <c r="D120" s="24">
        <v>230</v>
      </c>
    </row>
    <row r="121" spans="1:4" ht="16.75" x14ac:dyDescent="0.45">
      <c r="A121" s="24" t="s">
        <v>404</v>
      </c>
      <c r="B121" s="24" t="s">
        <v>405</v>
      </c>
      <c r="C121" s="24" t="s">
        <v>406</v>
      </c>
      <c r="D121" s="24">
        <v>960</v>
      </c>
    </row>
    <row r="122" spans="1:4" ht="16.75" x14ac:dyDescent="0.45">
      <c r="A122" s="24" t="s">
        <v>407</v>
      </c>
      <c r="B122" s="24" t="s">
        <v>408</v>
      </c>
      <c r="C122" s="24" t="s">
        <v>409</v>
      </c>
      <c r="D122" s="24">
        <v>265</v>
      </c>
    </row>
    <row r="123" spans="1:4" ht="16.75" x14ac:dyDescent="0.45">
      <c r="A123" s="24" t="s">
        <v>410</v>
      </c>
      <c r="B123" s="24" t="s">
        <v>411</v>
      </c>
      <c r="C123" s="24" t="s">
        <v>412</v>
      </c>
      <c r="D123" s="24">
        <v>52</v>
      </c>
    </row>
    <row r="124" spans="1:4" ht="16.75" x14ac:dyDescent="0.45">
      <c r="A124" s="24" t="s">
        <v>413</v>
      </c>
      <c r="B124" s="24" t="s">
        <v>414</v>
      </c>
      <c r="C124" s="24" t="s">
        <v>415</v>
      </c>
      <c r="D124" s="24">
        <v>60</v>
      </c>
    </row>
    <row r="125" spans="1:4" ht="16.75" x14ac:dyDescent="0.45">
      <c r="A125" s="24" t="s">
        <v>416</v>
      </c>
      <c r="B125" s="24" t="s">
        <v>417</v>
      </c>
      <c r="C125" s="24" t="s">
        <v>418</v>
      </c>
      <c r="D125" s="24">
        <v>258</v>
      </c>
    </row>
    <row r="126" spans="1:4" ht="16.75" x14ac:dyDescent="0.45">
      <c r="A126" s="24" t="s">
        <v>419</v>
      </c>
      <c r="B126" s="24" t="s">
        <v>420</v>
      </c>
      <c r="C126" s="24" t="s">
        <v>421</v>
      </c>
      <c r="D126" s="24">
        <v>264</v>
      </c>
    </row>
    <row r="127" spans="1:4" ht="16.75" x14ac:dyDescent="0.45">
      <c r="A127" s="24" t="s">
        <v>422</v>
      </c>
      <c r="B127" s="24" t="s">
        <v>423</v>
      </c>
      <c r="C127" s="24" t="s">
        <v>424</v>
      </c>
      <c r="D127" s="24">
        <v>977</v>
      </c>
    </row>
    <row r="128" spans="1:4" ht="16.75" x14ac:dyDescent="0.45">
      <c r="A128" s="24" t="s">
        <v>425</v>
      </c>
      <c r="B128" s="24" t="s">
        <v>426</v>
      </c>
      <c r="C128" s="24" t="s">
        <v>427</v>
      </c>
      <c r="D128" s="24">
        <v>234</v>
      </c>
    </row>
    <row r="129" spans="1:4" ht="16.75" x14ac:dyDescent="0.45">
      <c r="A129" s="24" t="s">
        <v>428</v>
      </c>
      <c r="B129" s="24" t="s">
        <v>429</v>
      </c>
      <c r="C129" s="24" t="s">
        <v>430</v>
      </c>
      <c r="D129" s="24">
        <v>505</v>
      </c>
    </row>
    <row r="130" spans="1:4" ht="16.75" x14ac:dyDescent="0.45">
      <c r="A130" s="24" t="s">
        <v>431</v>
      </c>
      <c r="B130" s="24" t="s">
        <v>432</v>
      </c>
      <c r="C130" s="24" t="s">
        <v>433</v>
      </c>
      <c r="D130" s="24">
        <v>31</v>
      </c>
    </row>
    <row r="131" spans="1:4" ht="16.75" x14ac:dyDescent="0.45">
      <c r="A131" s="24" t="s">
        <v>434</v>
      </c>
      <c r="B131" s="24" t="s">
        <v>435</v>
      </c>
      <c r="C131" s="24" t="s">
        <v>436</v>
      </c>
      <c r="D131" s="24">
        <v>47</v>
      </c>
    </row>
    <row r="132" spans="1:4" ht="16.75" x14ac:dyDescent="0.45">
      <c r="A132" s="24" t="s">
        <v>437</v>
      </c>
      <c r="B132" s="24" t="s">
        <v>438</v>
      </c>
      <c r="C132" s="24" t="s">
        <v>439</v>
      </c>
      <c r="D132" s="24">
        <v>977</v>
      </c>
    </row>
    <row r="133" spans="1:4" ht="16.75" x14ac:dyDescent="0.45">
      <c r="A133" s="24"/>
      <c r="B133" s="24" t="s">
        <v>440</v>
      </c>
      <c r="C133" s="24" t="s">
        <v>441</v>
      </c>
      <c r="D133" s="24">
        <v>599</v>
      </c>
    </row>
    <row r="134" spans="1:4" ht="16.75" x14ac:dyDescent="0.45">
      <c r="A134" s="24" t="s">
        <v>442</v>
      </c>
      <c r="B134" s="24" t="s">
        <v>443</v>
      </c>
      <c r="C134" s="24" t="s">
        <v>444</v>
      </c>
      <c r="D134" s="24">
        <v>674</v>
      </c>
    </row>
    <row r="135" spans="1:4" ht="16.75" x14ac:dyDescent="0.45">
      <c r="A135" s="24" t="s">
        <v>445</v>
      </c>
      <c r="B135" s="24" t="s">
        <v>446</v>
      </c>
      <c r="C135" s="24" t="s">
        <v>447</v>
      </c>
      <c r="D135" s="24">
        <v>64</v>
      </c>
    </row>
    <row r="136" spans="1:4" ht="16.75" x14ac:dyDescent="0.45">
      <c r="A136" s="24" t="s">
        <v>448</v>
      </c>
      <c r="B136" s="24" t="s">
        <v>449</v>
      </c>
      <c r="C136" s="24" t="s">
        <v>450</v>
      </c>
      <c r="D136" s="24">
        <v>968</v>
      </c>
    </row>
    <row r="137" spans="1:4" ht="16.75" x14ac:dyDescent="0.45">
      <c r="A137" s="24" t="s">
        <v>451</v>
      </c>
      <c r="B137" s="24" t="s">
        <v>452</v>
      </c>
      <c r="C137" s="24" t="s">
        <v>453</v>
      </c>
      <c r="D137" s="24">
        <v>507</v>
      </c>
    </row>
    <row r="138" spans="1:4" ht="16.75" x14ac:dyDescent="0.45">
      <c r="A138" s="24" t="s">
        <v>454</v>
      </c>
      <c r="B138" s="24" t="s">
        <v>455</v>
      </c>
      <c r="C138" s="24" t="s">
        <v>456</v>
      </c>
      <c r="D138" s="24">
        <v>51</v>
      </c>
    </row>
    <row r="139" spans="1:4" ht="16.75" x14ac:dyDescent="0.45">
      <c r="A139" s="24" t="s">
        <v>457</v>
      </c>
      <c r="B139" s="24" t="s">
        <v>458</v>
      </c>
      <c r="C139" s="24" t="s">
        <v>459</v>
      </c>
      <c r="D139" s="24">
        <v>689</v>
      </c>
    </row>
    <row r="140" spans="1:4" ht="16.75" x14ac:dyDescent="0.45">
      <c r="A140" s="24" t="s">
        <v>460</v>
      </c>
      <c r="B140" s="24" t="s">
        <v>461</v>
      </c>
      <c r="C140" s="24" t="s">
        <v>462</v>
      </c>
      <c r="D140" s="24">
        <v>675</v>
      </c>
    </row>
    <row r="141" spans="1:4" ht="16.75" x14ac:dyDescent="0.45">
      <c r="A141" s="24" t="s">
        <v>463</v>
      </c>
      <c r="B141" s="24" t="s">
        <v>464</v>
      </c>
      <c r="C141" s="24" t="s">
        <v>465</v>
      </c>
      <c r="D141" s="24">
        <v>63</v>
      </c>
    </row>
    <row r="142" spans="1:4" ht="16.75" x14ac:dyDescent="0.45">
      <c r="A142" s="24" t="s">
        <v>466</v>
      </c>
      <c r="B142" s="24" t="s">
        <v>467</v>
      </c>
      <c r="C142" s="24" t="s">
        <v>468</v>
      </c>
      <c r="D142" s="24">
        <v>92</v>
      </c>
    </row>
    <row r="143" spans="1:4" ht="16.75" x14ac:dyDescent="0.45">
      <c r="A143" s="24" t="s">
        <v>469</v>
      </c>
      <c r="B143" s="24" t="s">
        <v>470</v>
      </c>
      <c r="C143" s="24" t="s">
        <v>471</v>
      </c>
      <c r="D143" s="24">
        <v>48</v>
      </c>
    </row>
    <row r="144" spans="1:4" ht="16.75" x14ac:dyDescent="0.45">
      <c r="A144" s="24" t="s">
        <v>472</v>
      </c>
      <c r="B144" s="24" t="s">
        <v>473</v>
      </c>
      <c r="C144" s="24" t="s">
        <v>474</v>
      </c>
      <c r="D144" s="24">
        <v>1787</v>
      </c>
    </row>
    <row r="145" spans="1:4" ht="16.75" x14ac:dyDescent="0.45">
      <c r="A145" s="24" t="s">
        <v>475</v>
      </c>
      <c r="B145" s="24" t="s">
        <v>476</v>
      </c>
      <c r="C145" s="24" t="s">
        <v>477</v>
      </c>
      <c r="D145" s="24">
        <v>351</v>
      </c>
    </row>
    <row r="146" spans="1:4" ht="16.75" x14ac:dyDescent="0.45">
      <c r="A146" s="24" t="s">
        <v>478</v>
      </c>
      <c r="B146" s="24" t="s">
        <v>479</v>
      </c>
      <c r="C146" s="24" t="s">
        <v>480</v>
      </c>
      <c r="D146" s="24">
        <v>595</v>
      </c>
    </row>
    <row r="147" spans="1:4" ht="16.75" x14ac:dyDescent="0.45">
      <c r="A147" s="24" t="s">
        <v>481</v>
      </c>
      <c r="B147" s="24" t="s">
        <v>482</v>
      </c>
      <c r="C147" s="24" t="s">
        <v>483</v>
      </c>
      <c r="D147" s="24">
        <v>974</v>
      </c>
    </row>
    <row r="148" spans="1:4" ht="16.75" x14ac:dyDescent="0.45">
      <c r="A148" s="24"/>
      <c r="B148" s="24" t="s">
        <v>484</v>
      </c>
      <c r="C148" s="24" t="s">
        <v>485</v>
      </c>
      <c r="D148" s="24">
        <v>262</v>
      </c>
    </row>
    <row r="149" spans="1:4" ht="16.75" x14ac:dyDescent="0.45">
      <c r="A149" s="24" t="s">
        <v>486</v>
      </c>
      <c r="B149" s="24" t="s">
        <v>487</v>
      </c>
      <c r="C149" s="24" t="s">
        <v>488</v>
      </c>
      <c r="D149" s="24">
        <v>40</v>
      </c>
    </row>
    <row r="150" spans="1:4" ht="16.75" x14ac:dyDescent="0.45">
      <c r="A150" s="24" t="s">
        <v>489</v>
      </c>
      <c r="B150" s="24" t="s">
        <v>490</v>
      </c>
      <c r="C150" s="24" t="s">
        <v>491</v>
      </c>
      <c r="D150" s="24">
        <v>7</v>
      </c>
    </row>
    <row r="151" spans="1:4" ht="16.75" x14ac:dyDescent="0.45">
      <c r="A151" s="24" t="s">
        <v>492</v>
      </c>
      <c r="B151" s="24" t="s">
        <v>493</v>
      </c>
      <c r="C151" s="24" t="s">
        <v>494</v>
      </c>
      <c r="D151" s="24">
        <v>966</v>
      </c>
    </row>
    <row r="152" spans="1:4" ht="16.75" x14ac:dyDescent="0.45">
      <c r="A152" s="24" t="s">
        <v>495</v>
      </c>
      <c r="B152" s="24" t="s">
        <v>496</v>
      </c>
      <c r="C152" s="24" t="s">
        <v>497</v>
      </c>
      <c r="D152" s="24">
        <v>677</v>
      </c>
    </row>
    <row r="153" spans="1:4" ht="16.75" x14ac:dyDescent="0.45">
      <c r="A153" s="24" t="s">
        <v>498</v>
      </c>
      <c r="B153" s="24" t="s">
        <v>499</v>
      </c>
      <c r="C153" s="24" t="s">
        <v>500</v>
      </c>
      <c r="D153" s="24">
        <v>248</v>
      </c>
    </row>
    <row r="154" spans="1:4" ht="16.75" x14ac:dyDescent="0.45">
      <c r="A154" s="24" t="s">
        <v>501</v>
      </c>
      <c r="B154" s="24" t="s">
        <v>502</v>
      </c>
      <c r="C154" s="24" t="s">
        <v>503</v>
      </c>
      <c r="D154" s="24">
        <v>249</v>
      </c>
    </row>
    <row r="155" spans="1:4" ht="16.75" x14ac:dyDescent="0.45">
      <c r="A155" s="24" t="s">
        <v>504</v>
      </c>
      <c r="B155" s="24" t="s">
        <v>505</v>
      </c>
      <c r="C155" s="24" t="s">
        <v>506</v>
      </c>
      <c r="D155" s="24">
        <v>46</v>
      </c>
    </row>
    <row r="156" spans="1:4" ht="16.75" x14ac:dyDescent="0.45">
      <c r="A156" s="24" t="s">
        <v>507</v>
      </c>
      <c r="B156" s="24" t="s">
        <v>508</v>
      </c>
      <c r="C156" s="24" t="s">
        <v>509</v>
      </c>
      <c r="D156" s="24">
        <v>65</v>
      </c>
    </row>
    <row r="157" spans="1:4" ht="16.75" x14ac:dyDescent="0.45">
      <c r="A157" s="24" t="s">
        <v>510</v>
      </c>
      <c r="B157" s="24" t="s">
        <v>511</v>
      </c>
      <c r="C157" s="24" t="s">
        <v>512</v>
      </c>
      <c r="D157" s="24">
        <v>386</v>
      </c>
    </row>
    <row r="158" spans="1:4" ht="16.75" x14ac:dyDescent="0.45">
      <c r="A158" s="24" t="s">
        <v>513</v>
      </c>
      <c r="B158" s="24" t="s">
        <v>514</v>
      </c>
      <c r="C158" s="24" t="s">
        <v>515</v>
      </c>
      <c r="D158" s="24">
        <v>421</v>
      </c>
    </row>
    <row r="159" spans="1:4" ht="16.75" x14ac:dyDescent="0.45">
      <c r="A159" s="24" t="s">
        <v>516</v>
      </c>
      <c r="B159" s="24" t="s">
        <v>517</v>
      </c>
      <c r="C159" s="24" t="s">
        <v>518</v>
      </c>
      <c r="D159" s="24">
        <v>232</v>
      </c>
    </row>
    <row r="160" spans="1:4" ht="16.75" x14ac:dyDescent="0.45">
      <c r="A160" s="24" t="s">
        <v>519</v>
      </c>
      <c r="B160" s="24" t="s">
        <v>520</v>
      </c>
      <c r="C160" s="24" t="s">
        <v>521</v>
      </c>
      <c r="D160" s="24">
        <v>378</v>
      </c>
    </row>
    <row r="161" spans="1:4" ht="16.75" x14ac:dyDescent="0.45">
      <c r="A161" s="24"/>
      <c r="B161" s="24" t="s">
        <v>522</v>
      </c>
      <c r="C161" s="24" t="s">
        <v>523</v>
      </c>
      <c r="D161" s="24">
        <v>684</v>
      </c>
    </row>
    <row r="162" spans="1:4" ht="16.75" x14ac:dyDescent="0.45">
      <c r="A162" s="24"/>
      <c r="B162" s="24" t="s">
        <v>524</v>
      </c>
      <c r="C162" s="24" t="s">
        <v>521</v>
      </c>
      <c r="D162" s="24">
        <v>685</v>
      </c>
    </row>
    <row r="163" spans="1:4" ht="16.75" x14ac:dyDescent="0.45">
      <c r="A163" s="24" t="s">
        <v>525</v>
      </c>
      <c r="B163" s="24" t="s">
        <v>526</v>
      </c>
      <c r="C163" s="24" t="s">
        <v>527</v>
      </c>
      <c r="D163" s="24">
        <v>221</v>
      </c>
    </row>
    <row r="164" spans="1:4" ht="16.75" x14ac:dyDescent="0.45">
      <c r="A164" s="24" t="s">
        <v>528</v>
      </c>
      <c r="B164" s="24" t="s">
        <v>529</v>
      </c>
      <c r="C164" s="24" t="s">
        <v>530</v>
      </c>
      <c r="D164" s="24">
        <v>252</v>
      </c>
    </row>
    <row r="165" spans="1:4" ht="16.75" x14ac:dyDescent="0.45">
      <c r="A165" s="24" t="s">
        <v>531</v>
      </c>
      <c r="B165" s="24" t="s">
        <v>532</v>
      </c>
      <c r="C165" s="24" t="s">
        <v>533</v>
      </c>
      <c r="D165" s="24">
        <v>597</v>
      </c>
    </row>
    <row r="166" spans="1:4" ht="16.75" x14ac:dyDescent="0.45">
      <c r="A166" s="24" t="s">
        <v>534</v>
      </c>
      <c r="B166" s="24" t="s">
        <v>535</v>
      </c>
      <c r="C166" s="24" t="s">
        <v>536</v>
      </c>
      <c r="D166" s="24">
        <v>239</v>
      </c>
    </row>
    <row r="167" spans="1:4" ht="16.75" x14ac:dyDescent="0.45">
      <c r="A167" s="24" t="s">
        <v>537</v>
      </c>
      <c r="B167" s="24" t="s">
        <v>538</v>
      </c>
      <c r="C167" s="24" t="s">
        <v>539</v>
      </c>
      <c r="D167" s="24">
        <v>503</v>
      </c>
    </row>
    <row r="168" spans="1:4" ht="16.75" x14ac:dyDescent="0.45">
      <c r="A168" s="24" t="s">
        <v>540</v>
      </c>
      <c r="B168" s="24" t="s">
        <v>541</v>
      </c>
      <c r="C168" s="24" t="s">
        <v>542</v>
      </c>
      <c r="D168" s="24">
        <v>963</v>
      </c>
    </row>
    <row r="169" spans="1:4" ht="16.75" x14ac:dyDescent="0.45">
      <c r="A169" s="24" t="s">
        <v>543</v>
      </c>
      <c r="B169" s="24" t="s">
        <v>544</v>
      </c>
      <c r="C169" s="24" t="s">
        <v>545</v>
      </c>
      <c r="D169" s="24">
        <v>268</v>
      </c>
    </row>
    <row r="170" spans="1:4" ht="16.75" x14ac:dyDescent="0.45">
      <c r="A170" s="24" t="s">
        <v>546</v>
      </c>
      <c r="B170" s="24" t="s">
        <v>547</v>
      </c>
      <c r="C170" s="24" t="s">
        <v>548</v>
      </c>
      <c r="D170" s="24">
        <v>235</v>
      </c>
    </row>
    <row r="171" spans="1:4" ht="16.75" x14ac:dyDescent="0.45">
      <c r="A171" s="24" t="s">
        <v>549</v>
      </c>
      <c r="B171" s="24" t="s">
        <v>550</v>
      </c>
      <c r="C171" s="24" t="s">
        <v>551</v>
      </c>
      <c r="D171" s="24">
        <v>228</v>
      </c>
    </row>
    <row r="172" spans="1:4" ht="16.75" x14ac:dyDescent="0.45">
      <c r="A172" s="24" t="s">
        <v>552</v>
      </c>
      <c r="B172" s="24" t="s">
        <v>553</v>
      </c>
      <c r="C172" s="24" t="s">
        <v>554</v>
      </c>
      <c r="D172" s="24">
        <v>66</v>
      </c>
    </row>
    <row r="173" spans="1:4" ht="16.75" x14ac:dyDescent="0.45">
      <c r="A173" s="24" t="s">
        <v>555</v>
      </c>
      <c r="B173" s="24" t="s">
        <v>556</v>
      </c>
      <c r="C173" s="24" t="s">
        <v>557</v>
      </c>
      <c r="D173" s="24">
        <v>992</v>
      </c>
    </row>
    <row r="174" spans="1:4" ht="16.75" x14ac:dyDescent="0.45">
      <c r="A174" s="24" t="s">
        <v>558</v>
      </c>
      <c r="B174" s="24" t="s">
        <v>559</v>
      </c>
      <c r="C174" s="24" t="s">
        <v>560</v>
      </c>
      <c r="D174" s="24">
        <v>993</v>
      </c>
    </row>
    <row r="175" spans="1:4" ht="16.75" x14ac:dyDescent="0.45">
      <c r="A175" s="24" t="s">
        <v>561</v>
      </c>
      <c r="B175" s="24" t="s">
        <v>562</v>
      </c>
      <c r="C175" s="24" t="s">
        <v>563</v>
      </c>
      <c r="D175" s="24">
        <v>216</v>
      </c>
    </row>
    <row r="176" spans="1:4" ht="16.75" x14ac:dyDescent="0.45">
      <c r="A176" s="24" t="s">
        <v>564</v>
      </c>
      <c r="B176" s="24" t="s">
        <v>565</v>
      </c>
      <c r="C176" s="24" t="s">
        <v>566</v>
      </c>
      <c r="D176" s="24">
        <v>676</v>
      </c>
    </row>
    <row r="177" spans="1:4" ht="16.75" x14ac:dyDescent="0.45">
      <c r="A177" s="24" t="s">
        <v>567</v>
      </c>
      <c r="B177" s="24" t="s">
        <v>568</v>
      </c>
      <c r="C177" s="24" t="s">
        <v>569</v>
      </c>
      <c r="D177" s="24">
        <v>90</v>
      </c>
    </row>
    <row r="178" spans="1:4" ht="16.75" x14ac:dyDescent="0.45">
      <c r="A178" s="24" t="s">
        <v>570</v>
      </c>
      <c r="B178" s="24" t="s">
        <v>571</v>
      </c>
      <c r="C178" s="24" t="s">
        <v>572</v>
      </c>
      <c r="D178" s="24">
        <v>1809</v>
      </c>
    </row>
    <row r="179" spans="1:4" ht="16.75" x14ac:dyDescent="0.45">
      <c r="A179" s="24" t="s">
        <v>573</v>
      </c>
      <c r="B179" s="24" t="s">
        <v>574</v>
      </c>
      <c r="C179" s="24" t="s">
        <v>575</v>
      </c>
      <c r="D179" s="24">
        <v>886</v>
      </c>
    </row>
    <row r="180" spans="1:4" ht="16.75" x14ac:dyDescent="0.45">
      <c r="A180" s="24" t="s">
        <v>576</v>
      </c>
      <c r="B180" s="24" t="s">
        <v>577</v>
      </c>
      <c r="C180" s="24" t="s">
        <v>578</v>
      </c>
      <c r="D180" s="24">
        <v>255</v>
      </c>
    </row>
    <row r="181" spans="1:4" ht="16.75" x14ac:dyDescent="0.45">
      <c r="A181" s="24" t="s">
        <v>579</v>
      </c>
      <c r="B181" s="24" t="s">
        <v>580</v>
      </c>
      <c r="C181" s="24" t="s">
        <v>581</v>
      </c>
      <c r="D181" s="24">
        <v>380</v>
      </c>
    </row>
    <row r="182" spans="1:4" ht="16.75" x14ac:dyDescent="0.45">
      <c r="A182" s="24" t="s">
        <v>582</v>
      </c>
      <c r="B182" s="24" t="s">
        <v>583</v>
      </c>
      <c r="C182" s="24" t="s">
        <v>584</v>
      </c>
      <c r="D182" s="24">
        <v>256</v>
      </c>
    </row>
    <row r="183" spans="1:4" ht="16.75" x14ac:dyDescent="0.45">
      <c r="A183" s="24" t="s">
        <v>585</v>
      </c>
      <c r="B183" s="24" t="s">
        <v>586</v>
      </c>
      <c r="C183" s="24" t="s">
        <v>587</v>
      </c>
      <c r="D183" s="24">
        <v>1</v>
      </c>
    </row>
    <row r="184" spans="1:4" ht="16.75" x14ac:dyDescent="0.45">
      <c r="A184" s="24" t="s">
        <v>588</v>
      </c>
      <c r="B184" s="24" t="s">
        <v>589</v>
      </c>
      <c r="C184" s="24" t="s">
        <v>590</v>
      </c>
      <c r="D184" s="24">
        <v>598</v>
      </c>
    </row>
    <row r="185" spans="1:4" ht="16.75" x14ac:dyDescent="0.45">
      <c r="A185" s="24" t="s">
        <v>591</v>
      </c>
      <c r="B185" s="24" t="s">
        <v>592</v>
      </c>
      <c r="C185" s="24" t="s">
        <v>593</v>
      </c>
      <c r="D185" s="24">
        <v>233</v>
      </c>
    </row>
    <row r="186" spans="1:4" ht="16.75" x14ac:dyDescent="0.45">
      <c r="A186" s="24" t="s">
        <v>594</v>
      </c>
      <c r="B186" s="24" t="s">
        <v>595</v>
      </c>
      <c r="C186" s="24" t="s">
        <v>596</v>
      </c>
      <c r="D186" s="24">
        <v>1784</v>
      </c>
    </row>
    <row r="187" spans="1:4" ht="16.75" x14ac:dyDescent="0.45">
      <c r="A187" s="24" t="s">
        <v>597</v>
      </c>
      <c r="B187" s="24" t="s">
        <v>598</v>
      </c>
      <c r="C187" s="24" t="s">
        <v>599</v>
      </c>
      <c r="D187" s="24">
        <v>58</v>
      </c>
    </row>
    <row r="188" spans="1:4" ht="16.75" x14ac:dyDescent="0.45">
      <c r="A188" s="24" t="s">
        <v>600</v>
      </c>
      <c r="B188" s="24" t="s">
        <v>601</v>
      </c>
      <c r="C188" s="24" t="s">
        <v>602</v>
      </c>
      <c r="D188" s="24">
        <v>84</v>
      </c>
    </row>
    <row r="189" spans="1:4" ht="16.75" x14ac:dyDescent="0.45">
      <c r="A189" s="24" t="s">
        <v>603</v>
      </c>
      <c r="B189" s="24" t="s">
        <v>604</v>
      </c>
      <c r="C189" s="24" t="s">
        <v>605</v>
      </c>
      <c r="D189" s="24">
        <v>967</v>
      </c>
    </row>
    <row r="190" spans="1:4" ht="16.75" x14ac:dyDescent="0.45">
      <c r="A190" s="24" t="s">
        <v>606</v>
      </c>
      <c r="B190" s="24" t="s">
        <v>607</v>
      </c>
      <c r="C190" s="24" t="s">
        <v>608</v>
      </c>
      <c r="D190" s="24">
        <v>381</v>
      </c>
    </row>
    <row r="191" spans="1:4" ht="16.75" x14ac:dyDescent="0.45">
      <c r="A191" s="24" t="s">
        <v>609</v>
      </c>
      <c r="B191" s="24" t="s">
        <v>610</v>
      </c>
      <c r="C191" s="24" t="s">
        <v>611</v>
      </c>
      <c r="D191" s="24">
        <v>27</v>
      </c>
    </row>
    <row r="192" spans="1:4" ht="16.75" x14ac:dyDescent="0.45">
      <c r="A192" s="24" t="s">
        <v>612</v>
      </c>
      <c r="B192" s="24" t="s">
        <v>613</v>
      </c>
      <c r="C192" s="24" t="s">
        <v>614</v>
      </c>
      <c r="D192" s="24">
        <v>260</v>
      </c>
    </row>
    <row r="193" spans="1:4" ht="16.75" x14ac:dyDescent="0.45">
      <c r="A193" s="24" t="s">
        <v>615</v>
      </c>
      <c r="B193" s="24" t="s">
        <v>616</v>
      </c>
      <c r="C193" s="24" t="s">
        <v>617</v>
      </c>
      <c r="D193" s="24">
        <v>243</v>
      </c>
    </row>
    <row r="194" spans="1:4" ht="16.75" x14ac:dyDescent="0.45">
      <c r="A194" s="24" t="s">
        <v>618</v>
      </c>
      <c r="B194" s="24" t="s">
        <v>619</v>
      </c>
      <c r="C194" s="24" t="s">
        <v>620</v>
      </c>
      <c r="D194" s="24">
        <v>263</v>
      </c>
    </row>
  </sheetData>
  <phoneticPr fontId="14" type="noConversion"/>
  <dataValidations count="1">
    <dataValidation type="list" allowBlank="1" showInputMessage="1" showErrorMessage="1" sqref="G2 O2" xr:uid="{4273F22E-FD89-4A86-BB91-29DFBA3D1F92}">
      <formula1>$B:$B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79FA-4F9E-4634-AEB1-8D477403AAB9}">
  <sheetPr>
    <tabColor indexed="45"/>
  </sheetPr>
  <dimension ref="A1:V54"/>
  <sheetViews>
    <sheetView zoomScale="115" zoomScaleNormal="115" workbookViewId="0">
      <pane xSplit="1" ySplit="1" topLeftCell="B2" activePane="bottomRight" state="frozen"/>
      <selection activeCell="I2" sqref="I2"/>
      <selection pane="topRight" activeCell="I2" sqref="I2"/>
      <selection pane="bottomLeft" activeCell="I2" sqref="I2"/>
      <selection pane="bottomRight" activeCell="O32" sqref="O32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9.4140625" style="99" customWidth="1"/>
    <col min="4" max="4" width="8.832031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5.5" style="100" bestFit="1" customWidth="1"/>
    <col min="11" max="11" width="4.33203125" style="23" customWidth="1"/>
    <col min="12" max="12" width="6.5" style="51" customWidth="1"/>
    <col min="13" max="13" width="8.9140625" style="51" customWidth="1"/>
    <col min="14" max="14" width="6.1640625" style="51" customWidth="1"/>
    <col min="15" max="16" width="8.83203125" style="51"/>
    <col min="17" max="17" width="6.5" style="51" bestFit="1" customWidth="1"/>
    <col min="18" max="18" width="10" style="51" bestFit="1" customWidth="1"/>
    <col min="19" max="19" width="6" style="51" customWidth="1"/>
    <col min="20" max="20" width="8.58203125" style="51" customWidth="1"/>
    <col min="21" max="21" width="25.5" style="51" customWidth="1"/>
    <col min="22" max="250" width="8.83203125" style="51"/>
    <col min="251" max="251" width="6.6640625" style="51" customWidth="1"/>
    <col min="252" max="252" width="13.08203125" style="51" customWidth="1"/>
    <col min="253" max="253" width="7.9140625" style="51" bestFit="1" customWidth="1"/>
    <col min="254" max="254" width="11.4140625" style="51" customWidth="1"/>
    <col min="255" max="255" width="10.4140625" style="51" bestFit="1" customWidth="1"/>
    <col min="256" max="258" width="11.4140625" style="51" customWidth="1"/>
    <col min="259" max="259" width="10.4140625" style="51" bestFit="1" customWidth="1"/>
    <col min="260" max="506" width="8.83203125" style="51"/>
    <col min="507" max="507" width="6.6640625" style="51" customWidth="1"/>
    <col min="508" max="508" width="13.08203125" style="51" customWidth="1"/>
    <col min="509" max="509" width="7.9140625" style="51" bestFit="1" customWidth="1"/>
    <col min="510" max="510" width="11.4140625" style="51" customWidth="1"/>
    <col min="511" max="511" width="10.4140625" style="51" bestFit="1" customWidth="1"/>
    <col min="512" max="514" width="11.4140625" style="51" customWidth="1"/>
    <col min="515" max="515" width="10.4140625" style="51" bestFit="1" customWidth="1"/>
    <col min="516" max="762" width="8.83203125" style="51"/>
    <col min="763" max="763" width="6.6640625" style="51" customWidth="1"/>
    <col min="764" max="764" width="13.08203125" style="51" customWidth="1"/>
    <col min="765" max="765" width="7.9140625" style="51" bestFit="1" customWidth="1"/>
    <col min="766" max="766" width="11.4140625" style="51" customWidth="1"/>
    <col min="767" max="767" width="10.4140625" style="51" bestFit="1" customWidth="1"/>
    <col min="768" max="770" width="11.4140625" style="51" customWidth="1"/>
    <col min="771" max="771" width="10.4140625" style="51" bestFit="1" customWidth="1"/>
    <col min="772" max="1018" width="8.83203125" style="51"/>
    <col min="1019" max="1019" width="6.6640625" style="51" customWidth="1"/>
    <col min="1020" max="1020" width="13.08203125" style="51" customWidth="1"/>
    <col min="1021" max="1021" width="7.9140625" style="51" bestFit="1" customWidth="1"/>
    <col min="1022" max="1022" width="11.4140625" style="51" customWidth="1"/>
    <col min="1023" max="1023" width="10.4140625" style="51" bestFit="1" customWidth="1"/>
    <col min="1024" max="1026" width="11.4140625" style="51" customWidth="1"/>
    <col min="1027" max="1027" width="10.4140625" style="51" bestFit="1" customWidth="1"/>
    <col min="1028" max="1274" width="8.83203125" style="51"/>
    <col min="1275" max="1275" width="6.6640625" style="51" customWidth="1"/>
    <col min="1276" max="1276" width="13.08203125" style="51" customWidth="1"/>
    <col min="1277" max="1277" width="7.9140625" style="51" bestFit="1" customWidth="1"/>
    <col min="1278" max="1278" width="11.4140625" style="51" customWidth="1"/>
    <col min="1279" max="1279" width="10.4140625" style="51" bestFit="1" customWidth="1"/>
    <col min="1280" max="1282" width="11.4140625" style="51" customWidth="1"/>
    <col min="1283" max="1283" width="10.4140625" style="51" bestFit="1" customWidth="1"/>
    <col min="1284" max="1530" width="8.83203125" style="51"/>
    <col min="1531" max="1531" width="6.6640625" style="51" customWidth="1"/>
    <col min="1532" max="1532" width="13.08203125" style="51" customWidth="1"/>
    <col min="1533" max="1533" width="7.9140625" style="51" bestFit="1" customWidth="1"/>
    <col min="1534" max="1534" width="11.4140625" style="51" customWidth="1"/>
    <col min="1535" max="1535" width="10.4140625" style="51" bestFit="1" customWidth="1"/>
    <col min="1536" max="1538" width="11.4140625" style="51" customWidth="1"/>
    <col min="1539" max="1539" width="10.4140625" style="51" bestFit="1" customWidth="1"/>
    <col min="1540" max="1786" width="8.83203125" style="51"/>
    <col min="1787" max="1787" width="6.6640625" style="51" customWidth="1"/>
    <col min="1788" max="1788" width="13.08203125" style="51" customWidth="1"/>
    <col min="1789" max="1789" width="7.9140625" style="51" bestFit="1" customWidth="1"/>
    <col min="1790" max="1790" width="11.4140625" style="51" customWidth="1"/>
    <col min="1791" max="1791" width="10.4140625" style="51" bestFit="1" customWidth="1"/>
    <col min="1792" max="1794" width="11.4140625" style="51" customWidth="1"/>
    <col min="1795" max="1795" width="10.4140625" style="51" bestFit="1" customWidth="1"/>
    <col min="1796" max="2042" width="8.83203125" style="51"/>
    <col min="2043" max="2043" width="6.6640625" style="51" customWidth="1"/>
    <col min="2044" max="2044" width="13.08203125" style="51" customWidth="1"/>
    <col min="2045" max="2045" width="7.9140625" style="51" bestFit="1" customWidth="1"/>
    <col min="2046" max="2046" width="11.4140625" style="51" customWidth="1"/>
    <col min="2047" max="2047" width="10.4140625" style="51" bestFit="1" customWidth="1"/>
    <col min="2048" max="2050" width="11.4140625" style="51" customWidth="1"/>
    <col min="2051" max="2051" width="10.4140625" style="51" bestFit="1" customWidth="1"/>
    <col min="2052" max="2298" width="8.83203125" style="51"/>
    <col min="2299" max="2299" width="6.6640625" style="51" customWidth="1"/>
    <col min="2300" max="2300" width="13.08203125" style="51" customWidth="1"/>
    <col min="2301" max="2301" width="7.9140625" style="51" bestFit="1" customWidth="1"/>
    <col min="2302" max="2302" width="11.4140625" style="51" customWidth="1"/>
    <col min="2303" max="2303" width="10.4140625" style="51" bestFit="1" customWidth="1"/>
    <col min="2304" max="2306" width="11.4140625" style="51" customWidth="1"/>
    <col min="2307" max="2307" width="10.4140625" style="51" bestFit="1" customWidth="1"/>
    <col min="2308" max="2554" width="8.83203125" style="51"/>
    <col min="2555" max="2555" width="6.6640625" style="51" customWidth="1"/>
    <col min="2556" max="2556" width="13.08203125" style="51" customWidth="1"/>
    <col min="2557" max="2557" width="7.9140625" style="51" bestFit="1" customWidth="1"/>
    <col min="2558" max="2558" width="11.4140625" style="51" customWidth="1"/>
    <col min="2559" max="2559" width="10.4140625" style="51" bestFit="1" customWidth="1"/>
    <col min="2560" max="2562" width="11.4140625" style="51" customWidth="1"/>
    <col min="2563" max="2563" width="10.4140625" style="51" bestFit="1" customWidth="1"/>
    <col min="2564" max="2810" width="8.83203125" style="51"/>
    <col min="2811" max="2811" width="6.6640625" style="51" customWidth="1"/>
    <col min="2812" max="2812" width="13.08203125" style="51" customWidth="1"/>
    <col min="2813" max="2813" width="7.9140625" style="51" bestFit="1" customWidth="1"/>
    <col min="2814" max="2814" width="11.4140625" style="51" customWidth="1"/>
    <col min="2815" max="2815" width="10.4140625" style="51" bestFit="1" customWidth="1"/>
    <col min="2816" max="2818" width="11.4140625" style="51" customWidth="1"/>
    <col min="2819" max="2819" width="10.4140625" style="51" bestFit="1" customWidth="1"/>
    <col min="2820" max="3066" width="8.83203125" style="51"/>
    <col min="3067" max="3067" width="6.6640625" style="51" customWidth="1"/>
    <col min="3068" max="3068" width="13.08203125" style="51" customWidth="1"/>
    <col min="3069" max="3069" width="7.9140625" style="51" bestFit="1" customWidth="1"/>
    <col min="3070" max="3070" width="11.4140625" style="51" customWidth="1"/>
    <col min="3071" max="3071" width="10.4140625" style="51" bestFit="1" customWidth="1"/>
    <col min="3072" max="3074" width="11.4140625" style="51" customWidth="1"/>
    <col min="3075" max="3075" width="10.4140625" style="51" bestFit="1" customWidth="1"/>
    <col min="3076" max="3322" width="8.83203125" style="51"/>
    <col min="3323" max="3323" width="6.6640625" style="51" customWidth="1"/>
    <col min="3324" max="3324" width="13.08203125" style="51" customWidth="1"/>
    <col min="3325" max="3325" width="7.9140625" style="51" bestFit="1" customWidth="1"/>
    <col min="3326" max="3326" width="11.4140625" style="51" customWidth="1"/>
    <col min="3327" max="3327" width="10.4140625" style="51" bestFit="1" customWidth="1"/>
    <col min="3328" max="3330" width="11.4140625" style="51" customWidth="1"/>
    <col min="3331" max="3331" width="10.4140625" style="51" bestFit="1" customWidth="1"/>
    <col min="3332" max="3578" width="8.83203125" style="51"/>
    <col min="3579" max="3579" width="6.6640625" style="51" customWidth="1"/>
    <col min="3580" max="3580" width="13.08203125" style="51" customWidth="1"/>
    <col min="3581" max="3581" width="7.9140625" style="51" bestFit="1" customWidth="1"/>
    <col min="3582" max="3582" width="11.4140625" style="51" customWidth="1"/>
    <col min="3583" max="3583" width="10.4140625" style="51" bestFit="1" customWidth="1"/>
    <col min="3584" max="3586" width="11.4140625" style="51" customWidth="1"/>
    <col min="3587" max="3587" width="10.4140625" style="51" bestFit="1" customWidth="1"/>
    <col min="3588" max="3834" width="8.83203125" style="51"/>
    <col min="3835" max="3835" width="6.6640625" style="51" customWidth="1"/>
    <col min="3836" max="3836" width="13.08203125" style="51" customWidth="1"/>
    <col min="3837" max="3837" width="7.9140625" style="51" bestFit="1" customWidth="1"/>
    <col min="3838" max="3838" width="11.4140625" style="51" customWidth="1"/>
    <col min="3839" max="3839" width="10.4140625" style="51" bestFit="1" customWidth="1"/>
    <col min="3840" max="3842" width="11.4140625" style="51" customWidth="1"/>
    <col min="3843" max="3843" width="10.4140625" style="51" bestFit="1" customWidth="1"/>
    <col min="3844" max="4090" width="8.83203125" style="51"/>
    <col min="4091" max="4091" width="6.6640625" style="51" customWidth="1"/>
    <col min="4092" max="4092" width="13.08203125" style="51" customWidth="1"/>
    <col min="4093" max="4093" width="7.9140625" style="51" bestFit="1" customWidth="1"/>
    <col min="4094" max="4094" width="11.4140625" style="51" customWidth="1"/>
    <col min="4095" max="4095" width="10.4140625" style="51" bestFit="1" customWidth="1"/>
    <col min="4096" max="4098" width="11.4140625" style="51" customWidth="1"/>
    <col min="4099" max="4099" width="10.4140625" style="51" bestFit="1" customWidth="1"/>
    <col min="4100" max="4346" width="8.83203125" style="51"/>
    <col min="4347" max="4347" width="6.6640625" style="51" customWidth="1"/>
    <col min="4348" max="4348" width="13.08203125" style="51" customWidth="1"/>
    <col min="4349" max="4349" width="7.9140625" style="51" bestFit="1" customWidth="1"/>
    <col min="4350" max="4350" width="11.4140625" style="51" customWidth="1"/>
    <col min="4351" max="4351" width="10.4140625" style="51" bestFit="1" customWidth="1"/>
    <col min="4352" max="4354" width="11.4140625" style="51" customWidth="1"/>
    <col min="4355" max="4355" width="10.4140625" style="51" bestFit="1" customWidth="1"/>
    <col min="4356" max="4602" width="8.83203125" style="51"/>
    <col min="4603" max="4603" width="6.6640625" style="51" customWidth="1"/>
    <col min="4604" max="4604" width="13.08203125" style="51" customWidth="1"/>
    <col min="4605" max="4605" width="7.9140625" style="51" bestFit="1" customWidth="1"/>
    <col min="4606" max="4606" width="11.4140625" style="51" customWidth="1"/>
    <col min="4607" max="4607" width="10.4140625" style="51" bestFit="1" customWidth="1"/>
    <col min="4608" max="4610" width="11.4140625" style="51" customWidth="1"/>
    <col min="4611" max="4611" width="10.4140625" style="51" bestFit="1" customWidth="1"/>
    <col min="4612" max="4858" width="8.83203125" style="51"/>
    <col min="4859" max="4859" width="6.6640625" style="51" customWidth="1"/>
    <col min="4860" max="4860" width="13.08203125" style="51" customWidth="1"/>
    <col min="4861" max="4861" width="7.9140625" style="51" bestFit="1" customWidth="1"/>
    <col min="4862" max="4862" width="11.4140625" style="51" customWidth="1"/>
    <col min="4863" max="4863" width="10.4140625" style="51" bestFit="1" customWidth="1"/>
    <col min="4864" max="4866" width="11.4140625" style="51" customWidth="1"/>
    <col min="4867" max="4867" width="10.4140625" style="51" bestFit="1" customWidth="1"/>
    <col min="4868" max="5114" width="8.83203125" style="51"/>
    <col min="5115" max="5115" width="6.6640625" style="51" customWidth="1"/>
    <col min="5116" max="5116" width="13.08203125" style="51" customWidth="1"/>
    <col min="5117" max="5117" width="7.9140625" style="51" bestFit="1" customWidth="1"/>
    <col min="5118" max="5118" width="11.4140625" style="51" customWidth="1"/>
    <col min="5119" max="5119" width="10.4140625" style="51" bestFit="1" customWidth="1"/>
    <col min="5120" max="5122" width="11.4140625" style="51" customWidth="1"/>
    <col min="5123" max="5123" width="10.4140625" style="51" bestFit="1" customWidth="1"/>
    <col min="5124" max="5370" width="8.83203125" style="51"/>
    <col min="5371" max="5371" width="6.6640625" style="51" customWidth="1"/>
    <col min="5372" max="5372" width="13.08203125" style="51" customWidth="1"/>
    <col min="5373" max="5373" width="7.9140625" style="51" bestFit="1" customWidth="1"/>
    <col min="5374" max="5374" width="11.4140625" style="51" customWidth="1"/>
    <col min="5375" max="5375" width="10.4140625" style="51" bestFit="1" customWidth="1"/>
    <col min="5376" max="5378" width="11.4140625" style="51" customWidth="1"/>
    <col min="5379" max="5379" width="10.4140625" style="51" bestFit="1" customWidth="1"/>
    <col min="5380" max="5626" width="8.83203125" style="51"/>
    <col min="5627" max="5627" width="6.6640625" style="51" customWidth="1"/>
    <col min="5628" max="5628" width="13.08203125" style="51" customWidth="1"/>
    <col min="5629" max="5629" width="7.9140625" style="51" bestFit="1" customWidth="1"/>
    <col min="5630" max="5630" width="11.4140625" style="51" customWidth="1"/>
    <col min="5631" max="5631" width="10.4140625" style="51" bestFit="1" customWidth="1"/>
    <col min="5632" max="5634" width="11.4140625" style="51" customWidth="1"/>
    <col min="5635" max="5635" width="10.4140625" style="51" bestFit="1" customWidth="1"/>
    <col min="5636" max="5882" width="8.83203125" style="51"/>
    <col min="5883" max="5883" width="6.6640625" style="51" customWidth="1"/>
    <col min="5884" max="5884" width="13.08203125" style="51" customWidth="1"/>
    <col min="5885" max="5885" width="7.9140625" style="51" bestFit="1" customWidth="1"/>
    <col min="5886" max="5886" width="11.4140625" style="51" customWidth="1"/>
    <col min="5887" max="5887" width="10.4140625" style="51" bestFit="1" customWidth="1"/>
    <col min="5888" max="5890" width="11.4140625" style="51" customWidth="1"/>
    <col min="5891" max="5891" width="10.4140625" style="51" bestFit="1" customWidth="1"/>
    <col min="5892" max="6138" width="8.83203125" style="51"/>
    <col min="6139" max="6139" width="6.6640625" style="51" customWidth="1"/>
    <col min="6140" max="6140" width="13.08203125" style="51" customWidth="1"/>
    <col min="6141" max="6141" width="7.9140625" style="51" bestFit="1" customWidth="1"/>
    <col min="6142" max="6142" width="11.4140625" style="51" customWidth="1"/>
    <col min="6143" max="6143" width="10.4140625" style="51" bestFit="1" customWidth="1"/>
    <col min="6144" max="6146" width="11.4140625" style="51" customWidth="1"/>
    <col min="6147" max="6147" width="10.4140625" style="51" bestFit="1" customWidth="1"/>
    <col min="6148" max="6394" width="8.83203125" style="51"/>
    <col min="6395" max="6395" width="6.6640625" style="51" customWidth="1"/>
    <col min="6396" max="6396" width="13.08203125" style="51" customWidth="1"/>
    <col min="6397" max="6397" width="7.9140625" style="51" bestFit="1" customWidth="1"/>
    <col min="6398" max="6398" width="11.4140625" style="51" customWidth="1"/>
    <col min="6399" max="6399" width="10.4140625" style="51" bestFit="1" customWidth="1"/>
    <col min="6400" max="6402" width="11.4140625" style="51" customWidth="1"/>
    <col min="6403" max="6403" width="10.4140625" style="51" bestFit="1" customWidth="1"/>
    <col min="6404" max="6650" width="8.83203125" style="51"/>
    <col min="6651" max="6651" width="6.6640625" style="51" customWidth="1"/>
    <col min="6652" max="6652" width="13.08203125" style="51" customWidth="1"/>
    <col min="6653" max="6653" width="7.9140625" style="51" bestFit="1" customWidth="1"/>
    <col min="6654" max="6654" width="11.4140625" style="51" customWidth="1"/>
    <col min="6655" max="6655" width="10.4140625" style="51" bestFit="1" customWidth="1"/>
    <col min="6656" max="6658" width="11.4140625" style="51" customWidth="1"/>
    <col min="6659" max="6659" width="10.4140625" style="51" bestFit="1" customWidth="1"/>
    <col min="6660" max="6906" width="8.83203125" style="51"/>
    <col min="6907" max="6907" width="6.6640625" style="51" customWidth="1"/>
    <col min="6908" max="6908" width="13.08203125" style="51" customWidth="1"/>
    <col min="6909" max="6909" width="7.9140625" style="51" bestFit="1" customWidth="1"/>
    <col min="6910" max="6910" width="11.4140625" style="51" customWidth="1"/>
    <col min="6911" max="6911" width="10.4140625" style="51" bestFit="1" customWidth="1"/>
    <col min="6912" max="6914" width="11.4140625" style="51" customWidth="1"/>
    <col min="6915" max="6915" width="10.4140625" style="51" bestFit="1" customWidth="1"/>
    <col min="6916" max="7162" width="8.83203125" style="51"/>
    <col min="7163" max="7163" width="6.6640625" style="51" customWidth="1"/>
    <col min="7164" max="7164" width="13.08203125" style="51" customWidth="1"/>
    <col min="7165" max="7165" width="7.9140625" style="51" bestFit="1" customWidth="1"/>
    <col min="7166" max="7166" width="11.4140625" style="51" customWidth="1"/>
    <col min="7167" max="7167" width="10.4140625" style="51" bestFit="1" customWidth="1"/>
    <col min="7168" max="7170" width="11.4140625" style="51" customWidth="1"/>
    <col min="7171" max="7171" width="10.4140625" style="51" bestFit="1" customWidth="1"/>
    <col min="7172" max="7418" width="8.83203125" style="51"/>
    <col min="7419" max="7419" width="6.6640625" style="51" customWidth="1"/>
    <col min="7420" max="7420" width="13.08203125" style="51" customWidth="1"/>
    <col min="7421" max="7421" width="7.9140625" style="51" bestFit="1" customWidth="1"/>
    <col min="7422" max="7422" width="11.4140625" style="51" customWidth="1"/>
    <col min="7423" max="7423" width="10.4140625" style="51" bestFit="1" customWidth="1"/>
    <col min="7424" max="7426" width="11.4140625" style="51" customWidth="1"/>
    <col min="7427" max="7427" width="10.4140625" style="51" bestFit="1" customWidth="1"/>
    <col min="7428" max="7674" width="8.83203125" style="51"/>
    <col min="7675" max="7675" width="6.6640625" style="51" customWidth="1"/>
    <col min="7676" max="7676" width="13.08203125" style="51" customWidth="1"/>
    <col min="7677" max="7677" width="7.9140625" style="51" bestFit="1" customWidth="1"/>
    <col min="7678" max="7678" width="11.4140625" style="51" customWidth="1"/>
    <col min="7679" max="7679" width="10.4140625" style="51" bestFit="1" customWidth="1"/>
    <col min="7680" max="7682" width="11.4140625" style="51" customWidth="1"/>
    <col min="7683" max="7683" width="10.4140625" style="51" bestFit="1" customWidth="1"/>
    <col min="7684" max="7930" width="8.83203125" style="51"/>
    <col min="7931" max="7931" width="6.6640625" style="51" customWidth="1"/>
    <col min="7932" max="7932" width="13.08203125" style="51" customWidth="1"/>
    <col min="7933" max="7933" width="7.9140625" style="51" bestFit="1" customWidth="1"/>
    <col min="7934" max="7934" width="11.4140625" style="51" customWidth="1"/>
    <col min="7935" max="7935" width="10.4140625" style="51" bestFit="1" customWidth="1"/>
    <col min="7936" max="7938" width="11.4140625" style="51" customWidth="1"/>
    <col min="7939" max="7939" width="10.4140625" style="51" bestFit="1" customWidth="1"/>
    <col min="7940" max="8186" width="8.83203125" style="51"/>
    <col min="8187" max="8187" width="6.6640625" style="51" customWidth="1"/>
    <col min="8188" max="8188" width="13.08203125" style="51" customWidth="1"/>
    <col min="8189" max="8189" width="7.9140625" style="51" bestFit="1" customWidth="1"/>
    <col min="8190" max="8190" width="11.4140625" style="51" customWidth="1"/>
    <col min="8191" max="8191" width="10.4140625" style="51" bestFit="1" customWidth="1"/>
    <col min="8192" max="8194" width="11.4140625" style="51" customWidth="1"/>
    <col min="8195" max="8195" width="10.4140625" style="51" bestFit="1" customWidth="1"/>
    <col min="8196" max="8442" width="8.83203125" style="51"/>
    <col min="8443" max="8443" width="6.6640625" style="51" customWidth="1"/>
    <col min="8444" max="8444" width="13.08203125" style="51" customWidth="1"/>
    <col min="8445" max="8445" width="7.9140625" style="51" bestFit="1" customWidth="1"/>
    <col min="8446" max="8446" width="11.4140625" style="51" customWidth="1"/>
    <col min="8447" max="8447" width="10.4140625" style="51" bestFit="1" customWidth="1"/>
    <col min="8448" max="8450" width="11.4140625" style="51" customWidth="1"/>
    <col min="8451" max="8451" width="10.4140625" style="51" bestFit="1" customWidth="1"/>
    <col min="8452" max="8698" width="8.83203125" style="51"/>
    <col min="8699" max="8699" width="6.6640625" style="51" customWidth="1"/>
    <col min="8700" max="8700" width="13.08203125" style="51" customWidth="1"/>
    <col min="8701" max="8701" width="7.9140625" style="51" bestFit="1" customWidth="1"/>
    <col min="8702" max="8702" width="11.4140625" style="51" customWidth="1"/>
    <col min="8703" max="8703" width="10.4140625" style="51" bestFit="1" customWidth="1"/>
    <col min="8704" max="8706" width="11.4140625" style="51" customWidth="1"/>
    <col min="8707" max="8707" width="10.4140625" style="51" bestFit="1" customWidth="1"/>
    <col min="8708" max="8954" width="8.83203125" style="51"/>
    <col min="8955" max="8955" width="6.6640625" style="51" customWidth="1"/>
    <col min="8956" max="8956" width="13.08203125" style="51" customWidth="1"/>
    <col min="8957" max="8957" width="7.9140625" style="51" bestFit="1" customWidth="1"/>
    <col min="8958" max="8958" width="11.4140625" style="51" customWidth="1"/>
    <col min="8959" max="8959" width="10.4140625" style="51" bestFit="1" customWidth="1"/>
    <col min="8960" max="8962" width="11.4140625" style="51" customWidth="1"/>
    <col min="8963" max="8963" width="10.4140625" style="51" bestFit="1" customWidth="1"/>
    <col min="8964" max="9210" width="8.83203125" style="51"/>
    <col min="9211" max="9211" width="6.6640625" style="51" customWidth="1"/>
    <col min="9212" max="9212" width="13.08203125" style="51" customWidth="1"/>
    <col min="9213" max="9213" width="7.9140625" style="51" bestFit="1" customWidth="1"/>
    <col min="9214" max="9214" width="11.4140625" style="51" customWidth="1"/>
    <col min="9215" max="9215" width="10.4140625" style="51" bestFit="1" customWidth="1"/>
    <col min="9216" max="9218" width="11.4140625" style="51" customWidth="1"/>
    <col min="9219" max="9219" width="10.4140625" style="51" bestFit="1" customWidth="1"/>
    <col min="9220" max="9466" width="8.83203125" style="51"/>
    <col min="9467" max="9467" width="6.6640625" style="51" customWidth="1"/>
    <col min="9468" max="9468" width="13.08203125" style="51" customWidth="1"/>
    <col min="9469" max="9469" width="7.9140625" style="51" bestFit="1" customWidth="1"/>
    <col min="9470" max="9470" width="11.4140625" style="51" customWidth="1"/>
    <col min="9471" max="9471" width="10.4140625" style="51" bestFit="1" customWidth="1"/>
    <col min="9472" max="9474" width="11.4140625" style="51" customWidth="1"/>
    <col min="9475" max="9475" width="10.4140625" style="51" bestFit="1" customWidth="1"/>
    <col min="9476" max="9722" width="8.83203125" style="51"/>
    <col min="9723" max="9723" width="6.6640625" style="51" customWidth="1"/>
    <col min="9724" max="9724" width="13.08203125" style="51" customWidth="1"/>
    <col min="9725" max="9725" width="7.9140625" style="51" bestFit="1" customWidth="1"/>
    <col min="9726" max="9726" width="11.4140625" style="51" customWidth="1"/>
    <col min="9727" max="9727" width="10.4140625" style="51" bestFit="1" customWidth="1"/>
    <col min="9728" max="9730" width="11.4140625" style="51" customWidth="1"/>
    <col min="9731" max="9731" width="10.4140625" style="51" bestFit="1" customWidth="1"/>
    <col min="9732" max="9978" width="8.83203125" style="51"/>
    <col min="9979" max="9979" width="6.6640625" style="51" customWidth="1"/>
    <col min="9980" max="9980" width="13.08203125" style="51" customWidth="1"/>
    <col min="9981" max="9981" width="7.9140625" style="51" bestFit="1" customWidth="1"/>
    <col min="9982" max="9982" width="11.4140625" style="51" customWidth="1"/>
    <col min="9983" max="9983" width="10.4140625" style="51" bestFit="1" customWidth="1"/>
    <col min="9984" max="9986" width="11.4140625" style="51" customWidth="1"/>
    <col min="9987" max="9987" width="10.4140625" style="51" bestFit="1" customWidth="1"/>
    <col min="9988" max="10234" width="8.83203125" style="51"/>
    <col min="10235" max="10235" width="6.6640625" style="51" customWidth="1"/>
    <col min="10236" max="10236" width="13.08203125" style="51" customWidth="1"/>
    <col min="10237" max="10237" width="7.9140625" style="51" bestFit="1" customWidth="1"/>
    <col min="10238" max="10238" width="11.4140625" style="51" customWidth="1"/>
    <col min="10239" max="10239" width="10.4140625" style="51" bestFit="1" customWidth="1"/>
    <col min="10240" max="10242" width="11.4140625" style="51" customWidth="1"/>
    <col min="10243" max="10243" width="10.4140625" style="51" bestFit="1" customWidth="1"/>
    <col min="10244" max="10490" width="8.83203125" style="51"/>
    <col min="10491" max="10491" width="6.6640625" style="51" customWidth="1"/>
    <col min="10492" max="10492" width="13.08203125" style="51" customWidth="1"/>
    <col min="10493" max="10493" width="7.9140625" style="51" bestFit="1" customWidth="1"/>
    <col min="10494" max="10494" width="11.4140625" style="51" customWidth="1"/>
    <col min="10495" max="10495" width="10.4140625" style="51" bestFit="1" customWidth="1"/>
    <col min="10496" max="10498" width="11.4140625" style="51" customWidth="1"/>
    <col min="10499" max="10499" width="10.4140625" style="51" bestFit="1" customWidth="1"/>
    <col min="10500" max="10746" width="8.83203125" style="51"/>
    <col min="10747" max="10747" width="6.6640625" style="51" customWidth="1"/>
    <col min="10748" max="10748" width="13.08203125" style="51" customWidth="1"/>
    <col min="10749" max="10749" width="7.9140625" style="51" bestFit="1" customWidth="1"/>
    <col min="10750" max="10750" width="11.4140625" style="51" customWidth="1"/>
    <col min="10751" max="10751" width="10.4140625" style="51" bestFit="1" customWidth="1"/>
    <col min="10752" max="10754" width="11.4140625" style="51" customWidth="1"/>
    <col min="10755" max="10755" width="10.4140625" style="51" bestFit="1" customWidth="1"/>
    <col min="10756" max="11002" width="8.83203125" style="51"/>
    <col min="11003" max="11003" width="6.6640625" style="51" customWidth="1"/>
    <col min="11004" max="11004" width="13.08203125" style="51" customWidth="1"/>
    <col min="11005" max="11005" width="7.9140625" style="51" bestFit="1" customWidth="1"/>
    <col min="11006" max="11006" width="11.4140625" style="51" customWidth="1"/>
    <col min="11007" max="11007" width="10.4140625" style="51" bestFit="1" customWidth="1"/>
    <col min="11008" max="11010" width="11.4140625" style="51" customWidth="1"/>
    <col min="11011" max="11011" width="10.4140625" style="51" bestFit="1" customWidth="1"/>
    <col min="11012" max="11258" width="8.83203125" style="51"/>
    <col min="11259" max="11259" width="6.6640625" style="51" customWidth="1"/>
    <col min="11260" max="11260" width="13.08203125" style="51" customWidth="1"/>
    <col min="11261" max="11261" width="7.9140625" style="51" bestFit="1" customWidth="1"/>
    <col min="11262" max="11262" width="11.4140625" style="51" customWidth="1"/>
    <col min="11263" max="11263" width="10.4140625" style="51" bestFit="1" customWidth="1"/>
    <col min="11264" max="11266" width="11.4140625" style="51" customWidth="1"/>
    <col min="11267" max="11267" width="10.4140625" style="51" bestFit="1" customWidth="1"/>
    <col min="11268" max="11514" width="8.83203125" style="51"/>
    <col min="11515" max="11515" width="6.6640625" style="51" customWidth="1"/>
    <col min="11516" max="11516" width="13.08203125" style="51" customWidth="1"/>
    <col min="11517" max="11517" width="7.9140625" style="51" bestFit="1" customWidth="1"/>
    <col min="11518" max="11518" width="11.4140625" style="51" customWidth="1"/>
    <col min="11519" max="11519" width="10.4140625" style="51" bestFit="1" customWidth="1"/>
    <col min="11520" max="11522" width="11.4140625" style="51" customWidth="1"/>
    <col min="11523" max="11523" width="10.4140625" style="51" bestFit="1" customWidth="1"/>
    <col min="11524" max="11770" width="8.83203125" style="51"/>
    <col min="11771" max="11771" width="6.6640625" style="51" customWidth="1"/>
    <col min="11772" max="11772" width="13.08203125" style="51" customWidth="1"/>
    <col min="11773" max="11773" width="7.9140625" style="51" bestFit="1" customWidth="1"/>
    <col min="11774" max="11774" width="11.4140625" style="51" customWidth="1"/>
    <col min="11775" max="11775" width="10.4140625" style="51" bestFit="1" customWidth="1"/>
    <col min="11776" max="11778" width="11.4140625" style="51" customWidth="1"/>
    <col min="11779" max="11779" width="10.4140625" style="51" bestFit="1" customWidth="1"/>
    <col min="11780" max="12026" width="8.83203125" style="51"/>
    <col min="12027" max="12027" width="6.6640625" style="51" customWidth="1"/>
    <col min="12028" max="12028" width="13.08203125" style="51" customWidth="1"/>
    <col min="12029" max="12029" width="7.9140625" style="51" bestFit="1" customWidth="1"/>
    <col min="12030" max="12030" width="11.4140625" style="51" customWidth="1"/>
    <col min="12031" max="12031" width="10.4140625" style="51" bestFit="1" customWidth="1"/>
    <col min="12032" max="12034" width="11.4140625" style="51" customWidth="1"/>
    <col min="12035" max="12035" width="10.4140625" style="51" bestFit="1" customWidth="1"/>
    <col min="12036" max="12282" width="8.83203125" style="51"/>
    <col min="12283" max="12283" width="6.6640625" style="51" customWidth="1"/>
    <col min="12284" max="12284" width="13.08203125" style="51" customWidth="1"/>
    <col min="12285" max="12285" width="7.9140625" style="51" bestFit="1" customWidth="1"/>
    <col min="12286" max="12286" width="11.4140625" style="51" customWidth="1"/>
    <col min="12287" max="12287" width="10.4140625" style="51" bestFit="1" customWidth="1"/>
    <col min="12288" max="12290" width="11.4140625" style="51" customWidth="1"/>
    <col min="12291" max="12291" width="10.4140625" style="51" bestFit="1" customWidth="1"/>
    <col min="12292" max="12538" width="8.83203125" style="51"/>
    <col min="12539" max="12539" width="6.6640625" style="51" customWidth="1"/>
    <col min="12540" max="12540" width="13.08203125" style="51" customWidth="1"/>
    <col min="12541" max="12541" width="7.9140625" style="51" bestFit="1" customWidth="1"/>
    <col min="12542" max="12542" width="11.4140625" style="51" customWidth="1"/>
    <col min="12543" max="12543" width="10.4140625" style="51" bestFit="1" customWidth="1"/>
    <col min="12544" max="12546" width="11.4140625" style="51" customWidth="1"/>
    <col min="12547" max="12547" width="10.4140625" style="51" bestFit="1" customWidth="1"/>
    <col min="12548" max="12794" width="8.83203125" style="51"/>
    <col min="12795" max="12795" width="6.6640625" style="51" customWidth="1"/>
    <col min="12796" max="12796" width="13.08203125" style="51" customWidth="1"/>
    <col min="12797" max="12797" width="7.9140625" style="51" bestFit="1" customWidth="1"/>
    <col min="12798" max="12798" width="11.4140625" style="51" customWidth="1"/>
    <col min="12799" max="12799" width="10.4140625" style="51" bestFit="1" customWidth="1"/>
    <col min="12800" max="12802" width="11.4140625" style="51" customWidth="1"/>
    <col min="12803" max="12803" width="10.4140625" style="51" bestFit="1" customWidth="1"/>
    <col min="12804" max="13050" width="8.83203125" style="51"/>
    <col min="13051" max="13051" width="6.6640625" style="51" customWidth="1"/>
    <col min="13052" max="13052" width="13.08203125" style="51" customWidth="1"/>
    <col min="13053" max="13053" width="7.9140625" style="51" bestFit="1" customWidth="1"/>
    <col min="13054" max="13054" width="11.4140625" style="51" customWidth="1"/>
    <col min="13055" max="13055" width="10.4140625" style="51" bestFit="1" customWidth="1"/>
    <col min="13056" max="13058" width="11.4140625" style="51" customWidth="1"/>
    <col min="13059" max="13059" width="10.4140625" style="51" bestFit="1" customWidth="1"/>
    <col min="13060" max="13306" width="8.83203125" style="51"/>
    <col min="13307" max="13307" width="6.6640625" style="51" customWidth="1"/>
    <col min="13308" max="13308" width="13.08203125" style="51" customWidth="1"/>
    <col min="13309" max="13309" width="7.9140625" style="51" bestFit="1" customWidth="1"/>
    <col min="13310" max="13310" width="11.4140625" style="51" customWidth="1"/>
    <col min="13311" max="13311" width="10.4140625" style="51" bestFit="1" customWidth="1"/>
    <col min="13312" max="13314" width="11.4140625" style="51" customWidth="1"/>
    <col min="13315" max="13315" width="10.4140625" style="51" bestFit="1" customWidth="1"/>
    <col min="13316" max="13562" width="8.83203125" style="51"/>
    <col min="13563" max="13563" width="6.6640625" style="51" customWidth="1"/>
    <col min="13564" max="13564" width="13.08203125" style="51" customWidth="1"/>
    <col min="13565" max="13565" width="7.9140625" style="51" bestFit="1" customWidth="1"/>
    <col min="13566" max="13566" width="11.4140625" style="51" customWidth="1"/>
    <col min="13567" max="13567" width="10.4140625" style="51" bestFit="1" customWidth="1"/>
    <col min="13568" max="13570" width="11.4140625" style="51" customWidth="1"/>
    <col min="13571" max="13571" width="10.4140625" style="51" bestFit="1" customWidth="1"/>
    <col min="13572" max="13818" width="8.83203125" style="51"/>
    <col min="13819" max="13819" width="6.6640625" style="51" customWidth="1"/>
    <col min="13820" max="13820" width="13.08203125" style="51" customWidth="1"/>
    <col min="13821" max="13821" width="7.9140625" style="51" bestFit="1" customWidth="1"/>
    <col min="13822" max="13822" width="11.4140625" style="51" customWidth="1"/>
    <col min="13823" max="13823" width="10.4140625" style="51" bestFit="1" customWidth="1"/>
    <col min="13824" max="13826" width="11.4140625" style="51" customWidth="1"/>
    <col min="13827" max="13827" width="10.4140625" style="51" bestFit="1" customWidth="1"/>
    <col min="13828" max="14074" width="8.83203125" style="51"/>
    <col min="14075" max="14075" width="6.6640625" style="51" customWidth="1"/>
    <col min="14076" max="14076" width="13.08203125" style="51" customWidth="1"/>
    <col min="14077" max="14077" width="7.9140625" style="51" bestFit="1" customWidth="1"/>
    <col min="14078" max="14078" width="11.4140625" style="51" customWidth="1"/>
    <col min="14079" max="14079" width="10.4140625" style="51" bestFit="1" customWidth="1"/>
    <col min="14080" max="14082" width="11.4140625" style="51" customWidth="1"/>
    <col min="14083" max="14083" width="10.4140625" style="51" bestFit="1" customWidth="1"/>
    <col min="14084" max="14330" width="8.83203125" style="51"/>
    <col min="14331" max="14331" width="6.6640625" style="51" customWidth="1"/>
    <col min="14332" max="14332" width="13.08203125" style="51" customWidth="1"/>
    <col min="14333" max="14333" width="7.9140625" style="51" bestFit="1" customWidth="1"/>
    <col min="14334" max="14334" width="11.4140625" style="51" customWidth="1"/>
    <col min="14335" max="14335" width="10.4140625" style="51" bestFit="1" customWidth="1"/>
    <col min="14336" max="14338" width="11.4140625" style="51" customWidth="1"/>
    <col min="14339" max="14339" width="10.4140625" style="51" bestFit="1" customWidth="1"/>
    <col min="14340" max="14586" width="8.83203125" style="51"/>
    <col min="14587" max="14587" width="6.6640625" style="51" customWidth="1"/>
    <col min="14588" max="14588" width="13.08203125" style="51" customWidth="1"/>
    <col min="14589" max="14589" width="7.9140625" style="51" bestFit="1" customWidth="1"/>
    <col min="14590" max="14590" width="11.4140625" style="51" customWidth="1"/>
    <col min="14591" max="14591" width="10.4140625" style="51" bestFit="1" customWidth="1"/>
    <col min="14592" max="14594" width="11.4140625" style="51" customWidth="1"/>
    <col min="14595" max="14595" width="10.4140625" style="51" bestFit="1" customWidth="1"/>
    <col min="14596" max="14842" width="8.83203125" style="51"/>
    <col min="14843" max="14843" width="6.6640625" style="51" customWidth="1"/>
    <col min="14844" max="14844" width="13.08203125" style="51" customWidth="1"/>
    <col min="14845" max="14845" width="7.9140625" style="51" bestFit="1" customWidth="1"/>
    <col min="14846" max="14846" width="11.4140625" style="51" customWidth="1"/>
    <col min="14847" max="14847" width="10.4140625" style="51" bestFit="1" customWidth="1"/>
    <col min="14848" max="14850" width="11.4140625" style="51" customWidth="1"/>
    <col min="14851" max="14851" width="10.4140625" style="51" bestFit="1" customWidth="1"/>
    <col min="14852" max="15098" width="8.83203125" style="51"/>
    <col min="15099" max="15099" width="6.6640625" style="51" customWidth="1"/>
    <col min="15100" max="15100" width="13.08203125" style="51" customWidth="1"/>
    <col min="15101" max="15101" width="7.9140625" style="51" bestFit="1" customWidth="1"/>
    <col min="15102" max="15102" width="11.4140625" style="51" customWidth="1"/>
    <col min="15103" max="15103" width="10.4140625" style="51" bestFit="1" customWidth="1"/>
    <col min="15104" max="15106" width="11.4140625" style="51" customWidth="1"/>
    <col min="15107" max="15107" width="10.4140625" style="51" bestFit="1" customWidth="1"/>
    <col min="15108" max="15354" width="8.83203125" style="51"/>
    <col min="15355" max="15355" width="6.6640625" style="51" customWidth="1"/>
    <col min="15356" max="15356" width="13.08203125" style="51" customWidth="1"/>
    <col min="15357" max="15357" width="7.9140625" style="51" bestFit="1" customWidth="1"/>
    <col min="15358" max="15358" width="11.4140625" style="51" customWidth="1"/>
    <col min="15359" max="15359" width="10.4140625" style="51" bestFit="1" customWidth="1"/>
    <col min="15360" max="15362" width="11.4140625" style="51" customWidth="1"/>
    <col min="15363" max="15363" width="10.4140625" style="51" bestFit="1" customWidth="1"/>
    <col min="15364" max="15610" width="8.83203125" style="51"/>
    <col min="15611" max="15611" width="6.6640625" style="51" customWidth="1"/>
    <col min="15612" max="15612" width="13.08203125" style="51" customWidth="1"/>
    <col min="15613" max="15613" width="7.9140625" style="51" bestFit="1" customWidth="1"/>
    <col min="15614" max="15614" width="11.4140625" style="51" customWidth="1"/>
    <col min="15615" max="15615" width="10.4140625" style="51" bestFit="1" customWidth="1"/>
    <col min="15616" max="15618" width="11.4140625" style="51" customWidth="1"/>
    <col min="15619" max="15619" width="10.4140625" style="51" bestFit="1" customWidth="1"/>
    <col min="15620" max="15866" width="8.83203125" style="51"/>
    <col min="15867" max="15867" width="6.6640625" style="51" customWidth="1"/>
    <col min="15868" max="15868" width="13.08203125" style="51" customWidth="1"/>
    <col min="15869" max="15869" width="7.9140625" style="51" bestFit="1" customWidth="1"/>
    <col min="15870" max="15870" width="11.4140625" style="51" customWidth="1"/>
    <col min="15871" max="15871" width="10.4140625" style="51" bestFit="1" customWidth="1"/>
    <col min="15872" max="15874" width="11.4140625" style="51" customWidth="1"/>
    <col min="15875" max="15875" width="10.4140625" style="51" bestFit="1" customWidth="1"/>
    <col min="15876" max="16122" width="8.83203125" style="51"/>
    <col min="16123" max="16123" width="6.6640625" style="51" customWidth="1"/>
    <col min="16124" max="16124" width="13.08203125" style="51" customWidth="1"/>
    <col min="16125" max="16125" width="7.9140625" style="51" bestFit="1" customWidth="1"/>
    <col min="16126" max="16126" width="11.4140625" style="51" customWidth="1"/>
    <col min="16127" max="16127" width="10.4140625" style="51" bestFit="1" customWidth="1"/>
    <col min="16128" max="16130" width="11.4140625" style="51" customWidth="1"/>
    <col min="16131" max="16131" width="10.4140625" style="51" bestFit="1" customWidth="1"/>
    <col min="16132" max="16384" width="8.83203125" style="51"/>
  </cols>
  <sheetData>
    <row r="1" spans="1:22" s="37" customFormat="1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L1" s="37" t="str">
        <f>A1</f>
        <v>ID</v>
      </c>
      <c r="M1" s="37" t="str">
        <f>B1</f>
        <v>Code_dpt</v>
      </c>
      <c r="O1" s="38" t="s">
        <v>623</v>
      </c>
      <c r="P1" s="38" t="s">
        <v>624</v>
      </c>
      <c r="Q1" s="39" t="s">
        <v>621</v>
      </c>
      <c r="R1" s="40" t="s">
        <v>622</v>
      </c>
      <c r="T1" s="39" t="s">
        <v>621</v>
      </c>
      <c r="U1" s="33" t="s">
        <v>624</v>
      </c>
      <c r="V1" s="41" t="s">
        <v>622</v>
      </c>
    </row>
    <row r="2" spans="1:22" x14ac:dyDescent="0.4">
      <c r="A2" s="42" t="str">
        <f>B2&amp;TEXT(ROW()-1,"000")</f>
        <v>A001</v>
      </c>
      <c r="B2" s="42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L2" s="37" t="str">
        <f t="shared" ref="L2:M54" si="0">A2</f>
        <v>A001</v>
      </c>
      <c r="M2" s="37" t="str">
        <f t="shared" si="0"/>
        <v>A</v>
      </c>
      <c r="O2" s="52" t="s">
        <v>632</v>
      </c>
      <c r="P2" s="53" t="s">
        <v>633</v>
      </c>
      <c r="Q2" s="54" t="str">
        <f>VLOOKUP(P2,D:M,9,0)</f>
        <v>A001</v>
      </c>
      <c r="R2" s="51" t="str">
        <f>VLOOKUP(P2,D:M,10,0)</f>
        <v>A</v>
      </c>
      <c r="T2" s="55" t="s">
        <v>637</v>
      </c>
      <c r="U2" s="54" t="s">
        <v>638</v>
      </c>
      <c r="V2" s="54" t="s">
        <v>639</v>
      </c>
    </row>
    <row r="3" spans="1:22" x14ac:dyDescent="0.4">
      <c r="A3" s="42" t="str">
        <f t="shared" ref="A3:A54" si="1">B3&amp;TEXT(ROW()-1,"000")</f>
        <v>A002</v>
      </c>
      <c r="B3" s="42" t="str">
        <f>VLOOKUP(C3,item!B:C,2,0)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56"/>
      <c r="K3" s="50" t="s">
        <v>643</v>
      </c>
      <c r="L3" s="37" t="str">
        <f t="shared" si="0"/>
        <v>A002</v>
      </c>
      <c r="M3" s="37" t="str">
        <f t="shared" si="0"/>
        <v>A</v>
      </c>
    </row>
    <row r="4" spans="1:22" x14ac:dyDescent="0.4">
      <c r="A4" s="42" t="str">
        <f t="shared" si="1"/>
        <v>A003</v>
      </c>
      <c r="B4" s="42" t="str">
        <f>VLOOKUP(C4,item!B:C,2,0)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56"/>
      <c r="K4" s="50" t="s">
        <v>647</v>
      </c>
      <c r="L4" s="37" t="str">
        <f t="shared" si="0"/>
        <v>A003</v>
      </c>
      <c r="M4" s="37" t="str">
        <f t="shared" si="0"/>
        <v>A</v>
      </c>
    </row>
    <row r="5" spans="1:22" x14ac:dyDescent="0.4">
      <c r="A5" s="42" t="str">
        <f t="shared" si="1"/>
        <v>A004</v>
      </c>
      <c r="B5" s="42" t="str">
        <f>VLOOKUP(C5,item!B:C,2,0)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56"/>
      <c r="K5" s="50" t="s">
        <v>651</v>
      </c>
      <c r="L5" s="37" t="str">
        <f t="shared" si="0"/>
        <v>A004</v>
      </c>
      <c r="M5" s="37" t="str">
        <f t="shared" si="0"/>
        <v>A</v>
      </c>
    </row>
    <row r="6" spans="1:22" ht="16.75" x14ac:dyDescent="0.45">
      <c r="A6" s="42" t="str">
        <f t="shared" si="1"/>
        <v>A005</v>
      </c>
      <c r="B6" s="42" t="str">
        <f>VLOOKUP(C6,item!B:C,2,0)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62"/>
      <c r="K6" s="50" t="s">
        <v>655</v>
      </c>
      <c r="L6" s="37" t="str">
        <f t="shared" si="0"/>
        <v>A005</v>
      </c>
      <c r="M6" s="37" t="str">
        <f t="shared" si="0"/>
        <v>A</v>
      </c>
      <c r="T6" s="64" t="s">
        <v>656</v>
      </c>
      <c r="U6" s="54" t="s">
        <v>657</v>
      </c>
    </row>
    <row r="7" spans="1:22" x14ac:dyDescent="0.4">
      <c r="A7" s="42" t="str">
        <f t="shared" si="1"/>
        <v>B006</v>
      </c>
      <c r="B7" s="42" t="str">
        <f>VLOOKUP(C7,item!B:C,2,0)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62"/>
      <c r="K7" s="50" t="s">
        <v>662</v>
      </c>
      <c r="L7" s="37" t="str">
        <f t="shared" si="0"/>
        <v>B006</v>
      </c>
      <c r="M7" s="37" t="str">
        <f t="shared" si="0"/>
        <v>B</v>
      </c>
    </row>
    <row r="8" spans="1:22" x14ac:dyDescent="0.4">
      <c r="A8" s="42" t="str">
        <f t="shared" si="1"/>
        <v>B007</v>
      </c>
      <c r="B8" s="42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L8" s="37" t="str">
        <f t="shared" si="0"/>
        <v>B007</v>
      </c>
      <c r="M8" s="37" t="str">
        <f t="shared" si="0"/>
        <v>B</v>
      </c>
    </row>
    <row r="9" spans="1:22" x14ac:dyDescent="0.4">
      <c r="A9" s="42" t="str">
        <f t="shared" si="1"/>
        <v>B008</v>
      </c>
      <c r="B9" s="42" t="str">
        <f>VLOOKUP(C9,item!B:C,2,0)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56"/>
      <c r="K9" s="50" t="s">
        <v>669</v>
      </c>
      <c r="L9" s="37" t="str">
        <f t="shared" si="0"/>
        <v>B008</v>
      </c>
      <c r="M9" s="37" t="str">
        <f t="shared" si="0"/>
        <v>B</v>
      </c>
    </row>
    <row r="10" spans="1:22" x14ac:dyDescent="0.4">
      <c r="A10" s="42" t="str">
        <f t="shared" si="1"/>
        <v>B009</v>
      </c>
      <c r="B10" s="42" t="str">
        <f>VLOOKUP(C10,item!B:C,2,0)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68"/>
      <c r="K10" s="50" t="s">
        <v>672</v>
      </c>
      <c r="L10" s="37" t="str">
        <f t="shared" si="0"/>
        <v>B009</v>
      </c>
      <c r="M10" s="37" t="str">
        <f t="shared" si="0"/>
        <v>B</v>
      </c>
    </row>
    <row r="11" spans="1:22" ht="14.25" customHeight="1" x14ac:dyDescent="0.4">
      <c r="A11" s="42" t="str">
        <f t="shared" si="1"/>
        <v>C010</v>
      </c>
      <c r="B11" s="42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L11" s="37" t="str">
        <f t="shared" si="0"/>
        <v>C010</v>
      </c>
      <c r="M11" s="37" t="str">
        <f t="shared" si="0"/>
        <v>C</v>
      </c>
    </row>
    <row r="12" spans="1:22" x14ac:dyDescent="0.4">
      <c r="A12" s="42" t="str">
        <f t="shared" si="1"/>
        <v>C011</v>
      </c>
      <c r="B12" s="42" t="str">
        <f>VLOOKUP(C12,item!B:C,2,0)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56"/>
      <c r="K12" s="50" t="s">
        <v>679</v>
      </c>
      <c r="L12" s="37" t="str">
        <f t="shared" si="0"/>
        <v>C011</v>
      </c>
      <c r="M12" s="37" t="str">
        <f t="shared" si="0"/>
        <v>C</v>
      </c>
    </row>
    <row r="13" spans="1:22" x14ac:dyDescent="0.4">
      <c r="A13" s="42" t="str">
        <f t="shared" si="1"/>
        <v>C012</v>
      </c>
      <c r="B13" s="42" t="str">
        <f>VLOOKUP(C13,item!B:C,2,0)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56"/>
      <c r="K13" s="50" t="s">
        <v>682</v>
      </c>
      <c r="L13" s="37" t="str">
        <f t="shared" si="0"/>
        <v>C012</v>
      </c>
      <c r="M13" s="37" t="str">
        <f t="shared" si="0"/>
        <v>C</v>
      </c>
    </row>
    <row r="14" spans="1:22" x14ac:dyDescent="0.4">
      <c r="A14" s="42" t="str">
        <f t="shared" si="1"/>
        <v>C013</v>
      </c>
      <c r="B14" s="42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72"/>
      <c r="K14" s="50" t="s">
        <v>685</v>
      </c>
      <c r="L14" s="37" t="str">
        <f t="shared" si="0"/>
        <v>C013</v>
      </c>
      <c r="M14" s="37" t="str">
        <f t="shared" si="0"/>
        <v>C</v>
      </c>
    </row>
    <row r="15" spans="1:22" ht="16.75" x14ac:dyDescent="0.45">
      <c r="A15" s="42" t="str">
        <f t="shared" si="1"/>
        <v>C014</v>
      </c>
      <c r="B15" s="42" t="str">
        <f>VLOOKUP(C15,item!B:C,2,0)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56"/>
      <c r="K15" s="50" t="s">
        <v>688</v>
      </c>
      <c r="L15" s="37" t="str">
        <f t="shared" si="0"/>
        <v>C014</v>
      </c>
      <c r="M15" s="37" t="str">
        <f t="shared" si="0"/>
        <v>C</v>
      </c>
    </row>
    <row r="16" spans="1:22" x14ac:dyDescent="0.4">
      <c r="A16" s="42" t="str">
        <f t="shared" si="1"/>
        <v>C015</v>
      </c>
      <c r="B16" s="42" t="str">
        <f>VLOOKUP(C16,item!B:C,2,0)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56"/>
      <c r="K16" s="50" t="s">
        <v>691</v>
      </c>
      <c r="L16" s="37" t="str">
        <f t="shared" si="0"/>
        <v>C015</v>
      </c>
      <c r="M16" s="37" t="str">
        <f t="shared" si="0"/>
        <v>C</v>
      </c>
    </row>
    <row r="17" spans="1:13" x14ac:dyDescent="0.4">
      <c r="A17" s="42" t="str">
        <f t="shared" si="1"/>
        <v>C016</v>
      </c>
      <c r="B17" s="42" t="str">
        <f>VLOOKUP(C17,item!B:C,2,0)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56"/>
      <c r="K17" s="50" t="s">
        <v>694</v>
      </c>
      <c r="L17" s="37" t="str">
        <f t="shared" si="0"/>
        <v>C016</v>
      </c>
      <c r="M17" s="37" t="str">
        <f t="shared" si="0"/>
        <v>C</v>
      </c>
    </row>
    <row r="18" spans="1:13" x14ac:dyDescent="0.4">
      <c r="A18" s="42" t="str">
        <f t="shared" si="1"/>
        <v>C017</v>
      </c>
      <c r="B18" s="42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L18" s="37" t="str">
        <f t="shared" si="0"/>
        <v>C017</v>
      </c>
      <c r="M18" s="37" t="str">
        <f t="shared" si="0"/>
        <v>C</v>
      </c>
    </row>
    <row r="19" spans="1:13" x14ac:dyDescent="0.4">
      <c r="A19" s="42" t="str">
        <f t="shared" si="1"/>
        <v>C018</v>
      </c>
      <c r="B19" s="42" t="str">
        <f>VLOOKUP(C19,item!B:C,2,0)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56"/>
      <c r="K19" s="50" t="s">
        <v>700</v>
      </c>
      <c r="L19" s="37" t="str">
        <f t="shared" si="0"/>
        <v>C018</v>
      </c>
      <c r="M19" s="37" t="str">
        <f t="shared" si="0"/>
        <v>C</v>
      </c>
    </row>
    <row r="20" spans="1:13" x14ac:dyDescent="0.4">
      <c r="A20" s="42" t="str">
        <f t="shared" si="1"/>
        <v>C019</v>
      </c>
      <c r="B20" s="42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L20" s="37" t="str">
        <f t="shared" si="0"/>
        <v>C019</v>
      </c>
      <c r="M20" s="37" t="str">
        <f t="shared" si="0"/>
        <v>C</v>
      </c>
    </row>
    <row r="21" spans="1:13" x14ac:dyDescent="0.4">
      <c r="A21" s="42" t="str">
        <f t="shared" si="1"/>
        <v>C020</v>
      </c>
      <c r="B21" s="42" t="str">
        <f>VLOOKUP(C21,item!B:C,2,0)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56"/>
      <c r="K21" s="50" t="s">
        <v>706</v>
      </c>
      <c r="L21" s="37" t="str">
        <f t="shared" si="0"/>
        <v>C020</v>
      </c>
      <c r="M21" s="37" t="str">
        <f t="shared" si="0"/>
        <v>C</v>
      </c>
    </row>
    <row r="22" spans="1:13" x14ac:dyDescent="0.4">
      <c r="A22" s="42" t="str">
        <f t="shared" si="1"/>
        <v>D021</v>
      </c>
      <c r="B22" s="42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L22" s="37" t="str">
        <f t="shared" si="0"/>
        <v>D021</v>
      </c>
      <c r="M22" s="37" t="str">
        <f t="shared" si="0"/>
        <v>D</v>
      </c>
    </row>
    <row r="23" spans="1:13" x14ac:dyDescent="0.4">
      <c r="A23" s="42" t="str">
        <f t="shared" si="1"/>
        <v>D022</v>
      </c>
      <c r="B23" s="42" t="str">
        <f>VLOOKUP(C23,item!B:C,2,0)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56"/>
      <c r="K23" s="50" t="s">
        <v>714</v>
      </c>
      <c r="L23" s="37" t="str">
        <f t="shared" si="0"/>
        <v>D022</v>
      </c>
      <c r="M23" s="37" t="str">
        <f t="shared" si="0"/>
        <v>D</v>
      </c>
    </row>
    <row r="24" spans="1:13" x14ac:dyDescent="0.4">
      <c r="A24" s="42" t="str">
        <f t="shared" si="1"/>
        <v>D023</v>
      </c>
      <c r="B24" s="42" t="str">
        <f>VLOOKUP(C24,item!B:C,2,0)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56"/>
      <c r="K24" s="50" t="s">
        <v>717</v>
      </c>
      <c r="L24" s="37" t="str">
        <f t="shared" si="0"/>
        <v>D023</v>
      </c>
      <c r="M24" s="37" t="str">
        <f t="shared" si="0"/>
        <v>D</v>
      </c>
    </row>
    <row r="25" spans="1:13" ht="16.75" x14ac:dyDescent="0.45">
      <c r="A25" s="42" t="str">
        <f t="shared" si="1"/>
        <v>D024</v>
      </c>
      <c r="B25" s="42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56"/>
      <c r="K25" s="50" t="s">
        <v>721</v>
      </c>
      <c r="L25" s="37" t="str">
        <f t="shared" si="0"/>
        <v>D024</v>
      </c>
      <c r="M25" s="37" t="str">
        <f t="shared" si="0"/>
        <v>D</v>
      </c>
    </row>
    <row r="26" spans="1:13" x14ac:dyDescent="0.4">
      <c r="A26" s="42" t="str">
        <f t="shared" si="1"/>
        <v>D025</v>
      </c>
      <c r="B26" s="42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87"/>
      <c r="K26" s="50" t="s">
        <v>724</v>
      </c>
      <c r="L26" s="37" t="str">
        <f t="shared" si="0"/>
        <v>D025</v>
      </c>
      <c r="M26" s="37" t="str">
        <f t="shared" si="0"/>
        <v>D</v>
      </c>
    </row>
    <row r="27" spans="1:13" ht="16.75" x14ac:dyDescent="0.45">
      <c r="A27" s="42" t="str">
        <f t="shared" si="1"/>
        <v>D026</v>
      </c>
      <c r="B27" s="42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56"/>
      <c r="K27" s="50" t="s">
        <v>727</v>
      </c>
      <c r="L27" s="37" t="str">
        <f t="shared" si="0"/>
        <v>D026</v>
      </c>
      <c r="M27" s="37" t="str">
        <f t="shared" si="0"/>
        <v>D</v>
      </c>
    </row>
    <row r="28" spans="1:13" ht="16.75" x14ac:dyDescent="0.45">
      <c r="A28" s="42" t="str">
        <f t="shared" si="1"/>
        <v>D027</v>
      </c>
      <c r="B28" s="42" t="str">
        <f>VLOOKUP(C28,item!B:C,2,0)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56"/>
      <c r="K28" s="50" t="s">
        <v>731</v>
      </c>
      <c r="L28" s="37" t="str">
        <f t="shared" si="0"/>
        <v>D027</v>
      </c>
      <c r="M28" s="37" t="str">
        <f t="shared" si="0"/>
        <v>D</v>
      </c>
    </row>
    <row r="29" spans="1:13" ht="16.75" x14ac:dyDescent="0.45">
      <c r="A29" s="42" t="str">
        <f t="shared" si="1"/>
        <v>D028</v>
      </c>
      <c r="B29" s="42" t="str">
        <f>VLOOKUP(C29,item!B:C,2,0)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56"/>
      <c r="K29" s="50" t="s">
        <v>734</v>
      </c>
      <c r="L29" s="37" t="str">
        <f t="shared" si="0"/>
        <v>D028</v>
      </c>
      <c r="M29" s="37" t="str">
        <f t="shared" si="0"/>
        <v>D</v>
      </c>
    </row>
    <row r="30" spans="1:13" ht="30" x14ac:dyDescent="0.4">
      <c r="A30" s="42" t="str">
        <f t="shared" si="1"/>
        <v>D029</v>
      </c>
      <c r="B30" s="42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L30" s="37" t="str">
        <f t="shared" si="0"/>
        <v>D029</v>
      </c>
      <c r="M30" s="37" t="str">
        <f t="shared" si="0"/>
        <v>D</v>
      </c>
    </row>
    <row r="31" spans="1:13" ht="45" x14ac:dyDescent="0.4">
      <c r="A31" s="42" t="str">
        <f t="shared" si="1"/>
        <v>D030</v>
      </c>
      <c r="B31" s="42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L31" s="37" t="str">
        <f t="shared" si="0"/>
        <v>D030</v>
      </c>
      <c r="M31" s="37" t="str">
        <f t="shared" si="0"/>
        <v>D</v>
      </c>
    </row>
    <row r="32" spans="1:13" ht="45" x14ac:dyDescent="0.4">
      <c r="A32" s="42" t="str">
        <f t="shared" si="1"/>
        <v>D031</v>
      </c>
      <c r="B32" s="42" t="str">
        <f>VLOOKUP(C32,item!B:C,2,0)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59"/>
      <c r="K32" s="50" t="s">
        <v>747</v>
      </c>
      <c r="L32" s="37" t="str">
        <f t="shared" si="0"/>
        <v>D031</v>
      </c>
      <c r="M32" s="37" t="str">
        <f t="shared" si="0"/>
        <v>D</v>
      </c>
    </row>
    <row r="33" spans="1:13" ht="45" x14ac:dyDescent="0.4">
      <c r="A33" s="42" t="str">
        <f t="shared" si="1"/>
        <v>D032</v>
      </c>
      <c r="B33" s="42" t="str">
        <f>VLOOKUP(C33,item!B:C,2,0)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56"/>
      <c r="K33" s="50" t="s">
        <v>750</v>
      </c>
      <c r="L33" s="37" t="str">
        <f t="shared" si="0"/>
        <v>D032</v>
      </c>
      <c r="M33" s="37" t="str">
        <f t="shared" si="0"/>
        <v>D</v>
      </c>
    </row>
    <row r="34" spans="1:13" x14ac:dyDescent="0.4">
      <c r="A34" s="42" t="str">
        <f t="shared" si="1"/>
        <v>E033</v>
      </c>
      <c r="B34" s="42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L34" s="37" t="str">
        <f t="shared" si="0"/>
        <v>E033</v>
      </c>
      <c r="M34" s="37" t="str">
        <f t="shared" si="0"/>
        <v>E</v>
      </c>
    </row>
    <row r="35" spans="1:13" x14ac:dyDescent="0.4">
      <c r="A35" s="42" t="str">
        <f t="shared" si="1"/>
        <v>E034</v>
      </c>
      <c r="B35" s="42" t="str">
        <f>VLOOKUP(C35,item!B:C,2,0)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56"/>
      <c r="K35" s="50" t="s">
        <v>757</v>
      </c>
      <c r="L35" s="37" t="str">
        <f t="shared" si="0"/>
        <v>E034</v>
      </c>
      <c r="M35" s="37" t="str">
        <f t="shared" si="0"/>
        <v>E</v>
      </c>
    </row>
    <row r="36" spans="1:13" x14ac:dyDescent="0.4">
      <c r="A36" s="42" t="str">
        <f t="shared" si="1"/>
        <v>E035</v>
      </c>
      <c r="B36" s="42" t="str">
        <f>VLOOKUP(C36,item!B:C,2,0)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62"/>
      <c r="K36" s="50" t="s">
        <v>760</v>
      </c>
      <c r="L36" s="37" t="str">
        <f t="shared" si="0"/>
        <v>E035</v>
      </c>
      <c r="M36" s="37" t="str">
        <f t="shared" si="0"/>
        <v>E</v>
      </c>
    </row>
    <row r="37" spans="1:13" x14ac:dyDescent="0.4">
      <c r="A37" s="42" t="str">
        <f t="shared" si="1"/>
        <v>E036</v>
      </c>
      <c r="B37" s="42" t="str">
        <f>VLOOKUP(C37,item!B:C,2,0)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56"/>
      <c r="K37" s="50" t="s">
        <v>763</v>
      </c>
      <c r="L37" s="37" t="str">
        <f t="shared" si="0"/>
        <v>E036</v>
      </c>
      <c r="M37" s="37" t="str">
        <f t="shared" si="0"/>
        <v>E</v>
      </c>
    </row>
    <row r="38" spans="1:13" x14ac:dyDescent="0.4">
      <c r="A38" s="42" t="str">
        <f t="shared" si="1"/>
        <v>E037</v>
      </c>
      <c r="B38" s="42" t="str">
        <f>VLOOKUP(C38,item!B:C,2,0)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56"/>
      <c r="K38" s="50" t="s">
        <v>764</v>
      </c>
      <c r="L38" s="37" t="str">
        <f t="shared" si="0"/>
        <v>E037</v>
      </c>
      <c r="M38" s="37" t="str">
        <f t="shared" si="0"/>
        <v>E</v>
      </c>
    </row>
    <row r="39" spans="1:13" x14ac:dyDescent="0.4">
      <c r="A39" s="42" t="str">
        <f t="shared" si="1"/>
        <v>E038</v>
      </c>
      <c r="B39" s="42" t="str">
        <f>VLOOKUP(C39,item!B:C,2,0)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56"/>
      <c r="K39" s="50" t="s">
        <v>768</v>
      </c>
      <c r="L39" s="37" t="str">
        <f t="shared" si="0"/>
        <v>E038</v>
      </c>
      <c r="M39" s="37" t="str">
        <f t="shared" si="0"/>
        <v>E</v>
      </c>
    </row>
    <row r="40" spans="1:13" x14ac:dyDescent="0.4">
      <c r="A40" s="42" t="str">
        <f t="shared" si="1"/>
        <v>E039</v>
      </c>
      <c r="B40" s="42" t="str">
        <f>VLOOKUP(C40,item!B:C,2,0)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72"/>
      <c r="K40" s="50" t="s">
        <v>769</v>
      </c>
      <c r="L40" s="37" t="str">
        <f t="shared" si="0"/>
        <v>E039</v>
      </c>
      <c r="M40" s="37" t="str">
        <f t="shared" si="0"/>
        <v>E</v>
      </c>
    </row>
    <row r="41" spans="1:13" x14ac:dyDescent="0.4">
      <c r="A41" s="42" t="str">
        <f t="shared" si="1"/>
        <v>E040</v>
      </c>
      <c r="B41" s="42" t="str">
        <f>VLOOKUP(C41,item!B:C,2,0)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56"/>
      <c r="K41" s="50" t="s">
        <v>772</v>
      </c>
      <c r="L41" s="37" t="str">
        <f t="shared" si="0"/>
        <v>E040</v>
      </c>
      <c r="M41" s="37" t="str">
        <f t="shared" si="0"/>
        <v>E</v>
      </c>
    </row>
    <row r="42" spans="1:13" x14ac:dyDescent="0.4">
      <c r="A42" s="42" t="str">
        <f t="shared" si="1"/>
        <v>E041</v>
      </c>
      <c r="B42" s="42" t="str">
        <f>VLOOKUP(C42,item!B:C,2,0)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56"/>
      <c r="K42" s="50" t="s">
        <v>775</v>
      </c>
      <c r="L42" s="37" t="str">
        <f t="shared" si="0"/>
        <v>E041</v>
      </c>
      <c r="M42" s="37" t="str">
        <f t="shared" si="0"/>
        <v>E</v>
      </c>
    </row>
    <row r="43" spans="1:13" x14ac:dyDescent="0.4">
      <c r="A43" s="42" t="str">
        <f t="shared" si="1"/>
        <v>E042</v>
      </c>
      <c r="B43" s="42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L43" s="37" t="str">
        <f t="shared" si="0"/>
        <v>E042</v>
      </c>
      <c r="M43" s="37" t="str">
        <f t="shared" si="0"/>
        <v>E</v>
      </c>
    </row>
    <row r="44" spans="1:13" x14ac:dyDescent="0.4">
      <c r="A44" s="42" t="str">
        <f t="shared" si="1"/>
        <v>E043</v>
      </c>
      <c r="B44" s="42" t="str">
        <f>VLOOKUP(C44,item!B:C,2,0)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72"/>
      <c r="K44" s="50" t="s">
        <v>781</v>
      </c>
      <c r="L44" s="37" t="str">
        <f t="shared" si="0"/>
        <v>E043</v>
      </c>
      <c r="M44" s="37" t="str">
        <f t="shared" si="0"/>
        <v>E</v>
      </c>
    </row>
    <row r="45" spans="1:13" x14ac:dyDescent="0.4">
      <c r="A45" s="42" t="str">
        <f t="shared" si="1"/>
        <v>E044</v>
      </c>
      <c r="B45" s="42" t="str">
        <f>VLOOKUP(C45,item!B:C,2,0)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56"/>
      <c r="K45" s="50" t="s">
        <v>784</v>
      </c>
      <c r="L45" s="37" t="str">
        <f t="shared" si="0"/>
        <v>E044</v>
      </c>
      <c r="M45" s="37" t="str">
        <f t="shared" si="0"/>
        <v>E</v>
      </c>
    </row>
    <row r="46" spans="1:13" x14ac:dyDescent="0.4">
      <c r="A46" s="42" t="str">
        <f t="shared" si="1"/>
        <v>E045</v>
      </c>
      <c r="B46" s="42" t="str">
        <f>VLOOKUP(C46,item!B:C,2,0)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56"/>
      <c r="K46" s="50" t="s">
        <v>787</v>
      </c>
      <c r="L46" s="37" t="str">
        <f t="shared" si="0"/>
        <v>E045</v>
      </c>
      <c r="M46" s="37" t="str">
        <f t="shared" si="0"/>
        <v>E</v>
      </c>
    </row>
    <row r="47" spans="1:13" x14ac:dyDescent="0.4">
      <c r="A47" s="42" t="str">
        <f t="shared" si="1"/>
        <v>E046</v>
      </c>
      <c r="B47" s="42" t="str">
        <f>VLOOKUP(C47,item!B:C,2,0)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56"/>
      <c r="K47" s="50" t="s">
        <v>790</v>
      </c>
      <c r="L47" s="37" t="str">
        <f t="shared" si="0"/>
        <v>E046</v>
      </c>
      <c r="M47" s="37" t="str">
        <f t="shared" si="0"/>
        <v>E</v>
      </c>
    </row>
    <row r="48" spans="1:13" x14ac:dyDescent="0.4">
      <c r="A48" s="42" t="str">
        <f t="shared" si="1"/>
        <v>E047</v>
      </c>
      <c r="B48" s="42" t="str">
        <f>VLOOKUP(C48,item!B:C,2,0)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56"/>
      <c r="K48" s="50" t="s">
        <v>793</v>
      </c>
      <c r="L48" s="37" t="str">
        <f t="shared" si="0"/>
        <v>E047</v>
      </c>
      <c r="M48" s="37" t="str">
        <f t="shared" si="0"/>
        <v>E</v>
      </c>
    </row>
    <row r="49" spans="1:13" x14ac:dyDescent="0.4">
      <c r="A49" s="42" t="str">
        <f t="shared" si="1"/>
        <v>E048</v>
      </c>
      <c r="B49" s="42" t="str">
        <f>VLOOKUP(C49,item!B:C,2,0)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72"/>
      <c r="K49" s="50" t="s">
        <v>794</v>
      </c>
      <c r="L49" s="37" t="str">
        <f t="shared" si="0"/>
        <v>E048</v>
      </c>
      <c r="M49" s="37" t="str">
        <f t="shared" si="0"/>
        <v>E</v>
      </c>
    </row>
    <row r="50" spans="1:13" x14ac:dyDescent="0.4">
      <c r="A50" s="42" t="str">
        <f t="shared" si="1"/>
        <v>E049</v>
      </c>
      <c r="B50" s="42" t="str">
        <f>VLOOKUP(C50,item!B:C,2,0)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56"/>
      <c r="K50" s="50" t="s">
        <v>797</v>
      </c>
      <c r="L50" s="37" t="str">
        <f t="shared" si="0"/>
        <v>E049</v>
      </c>
      <c r="M50" s="37" t="str">
        <f t="shared" si="0"/>
        <v>E</v>
      </c>
    </row>
    <row r="51" spans="1:13" x14ac:dyDescent="0.4">
      <c r="A51" s="42" t="str">
        <f t="shared" si="1"/>
        <v>E050</v>
      </c>
      <c r="B51" s="42" t="str">
        <f>VLOOKUP(C51,item!B:C,2,0)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62"/>
      <c r="K51" s="50" t="s">
        <v>800</v>
      </c>
      <c r="L51" s="37" t="str">
        <f t="shared" si="0"/>
        <v>E050</v>
      </c>
      <c r="M51" s="37" t="str">
        <f t="shared" si="0"/>
        <v>E</v>
      </c>
    </row>
    <row r="52" spans="1:13" x14ac:dyDescent="0.4">
      <c r="A52" s="42" t="str">
        <f t="shared" si="1"/>
        <v>E051</v>
      </c>
      <c r="B52" s="42" t="str">
        <f>VLOOKUP(C52,item!B:C,2,0)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62"/>
      <c r="K52" s="50" t="s">
        <v>803</v>
      </c>
      <c r="L52" s="37" t="str">
        <f t="shared" si="0"/>
        <v>E051</v>
      </c>
      <c r="M52" s="37" t="str">
        <f t="shared" si="0"/>
        <v>E</v>
      </c>
    </row>
    <row r="53" spans="1:13" ht="30" x14ac:dyDescent="0.4">
      <c r="A53" s="42" t="str">
        <f t="shared" si="1"/>
        <v>E052</v>
      </c>
      <c r="B53" s="42" t="str">
        <f>VLOOKUP(C53,item!B:C,2,0)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62"/>
      <c r="K53" s="50" t="s">
        <v>807</v>
      </c>
      <c r="L53" s="37" t="str">
        <f t="shared" si="0"/>
        <v>E052</v>
      </c>
      <c r="M53" s="37" t="str">
        <f t="shared" si="0"/>
        <v>E</v>
      </c>
    </row>
    <row r="54" spans="1:13" x14ac:dyDescent="0.4">
      <c r="A54" s="42" t="str">
        <f t="shared" si="1"/>
        <v>E053</v>
      </c>
      <c r="B54" s="42" t="str">
        <f>VLOOKUP(C54,item!B:C,2,0)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97"/>
      <c r="K54" s="50" t="s">
        <v>810</v>
      </c>
      <c r="L54" s="37" t="str">
        <f t="shared" si="0"/>
        <v>E053</v>
      </c>
      <c r="M54" s="37" t="str">
        <f t="shared" si="0"/>
        <v>E</v>
      </c>
    </row>
  </sheetData>
  <phoneticPr fontId="14" type="noConversion"/>
  <conditionalFormatting sqref="C1:D10 F1:J10">
    <cfRule type="expression" dxfId="260" priority="44">
      <formula>#REF!="程式組"</formula>
    </cfRule>
    <cfRule type="expression" dxfId="259" priority="45">
      <formula>#REF!="網路組"</formula>
    </cfRule>
  </conditionalFormatting>
  <conditionalFormatting sqref="C1:D21 F1:J21">
    <cfRule type="expression" dxfId="258" priority="46">
      <formula>#REF!="作業組"</formula>
    </cfRule>
    <cfRule type="expression" dxfId="257" priority="47">
      <formula>#REF!="教學組"</formula>
    </cfRule>
    <cfRule type="expression" dxfId="256" priority="48">
      <formula>#REF!="行政室"</formula>
    </cfRule>
  </conditionalFormatting>
  <conditionalFormatting sqref="C11:D21 F11:J21">
    <cfRule type="expression" dxfId="255" priority="49">
      <formula>#REF!="程式組"</formula>
    </cfRule>
    <cfRule type="expression" dxfId="254" priority="50">
      <formula>#REF!="網路組"</formula>
    </cfRule>
  </conditionalFormatting>
  <conditionalFormatting sqref="J55:K58 C1:D1048576 F59:K1048576 F1:K54">
    <cfRule type="expression" dxfId="253" priority="38">
      <formula>$A1="程式組"</formula>
    </cfRule>
    <cfRule type="expression" dxfId="252" priority="39">
      <formula>$A1="網路組"</formula>
    </cfRule>
    <cfRule type="expression" dxfId="251" priority="40">
      <formula>$A1="作業組"</formula>
    </cfRule>
    <cfRule type="expression" dxfId="250" priority="41">
      <formula>$A1="教學組"</formula>
    </cfRule>
    <cfRule type="expression" dxfId="249" priority="42">
      <formula>$A1="行政室"</formula>
    </cfRule>
  </conditionalFormatting>
  <conditionalFormatting sqref="I1:I65522">
    <cfRule type="cellIs" dxfId="248" priority="43" stopIfTrue="1" operator="notEqual">
      <formula>#REF!</formula>
    </cfRule>
  </conditionalFormatting>
  <conditionalFormatting sqref="O1:P2">
    <cfRule type="expression" dxfId="247" priority="28">
      <formula>$A1="程式組"</formula>
    </cfRule>
    <cfRule type="expression" dxfId="246" priority="29">
      <formula>$A1="網路組"</formula>
    </cfRule>
    <cfRule type="expression" dxfId="245" priority="30">
      <formula>$A1="作業組"</formula>
    </cfRule>
    <cfRule type="expression" dxfId="244" priority="31">
      <formula>$A1="教學組"</formula>
    </cfRule>
    <cfRule type="expression" dxfId="243" priority="32">
      <formula>$A1="行政室"</formula>
    </cfRule>
    <cfRule type="expression" dxfId="242" priority="33">
      <formula>#REF!="程式組"</formula>
    </cfRule>
    <cfRule type="expression" dxfId="241" priority="34">
      <formula>#REF!="網路組"</formula>
    </cfRule>
    <cfRule type="expression" dxfId="240" priority="35">
      <formula>#REF!="作業組"</formula>
    </cfRule>
    <cfRule type="expression" dxfId="239" priority="36">
      <formula>#REF!="教學組"</formula>
    </cfRule>
    <cfRule type="expression" dxfId="238" priority="37">
      <formula>#REF!="行政室"</formula>
    </cfRule>
  </conditionalFormatting>
  <conditionalFormatting sqref="U1">
    <cfRule type="expression" dxfId="237" priority="18">
      <formula>$A1="程式組"</formula>
    </cfRule>
    <cfRule type="expression" dxfId="236" priority="19">
      <formula>$A1="網路組"</formula>
    </cfRule>
    <cfRule type="expression" dxfId="235" priority="20">
      <formula>$A1="作業組"</formula>
    </cfRule>
    <cfRule type="expression" dxfId="234" priority="21">
      <formula>$A1="教學組"</formula>
    </cfRule>
    <cfRule type="expression" dxfId="233" priority="22">
      <formula>$A1="行政室"</formula>
    </cfRule>
    <cfRule type="expression" dxfId="232" priority="23">
      <formula>#REF!="程式組"</formula>
    </cfRule>
    <cfRule type="expression" dxfId="231" priority="24">
      <formula>#REF!="網路組"</formula>
    </cfRule>
    <cfRule type="expression" dxfId="230" priority="25">
      <formula>#REF!="作業組"</formula>
    </cfRule>
    <cfRule type="expression" dxfId="229" priority="26">
      <formula>#REF!="教學組"</formula>
    </cfRule>
    <cfRule type="expression" dxfId="228" priority="27">
      <formula>#REF!="行政室"</formula>
    </cfRule>
  </conditionalFormatting>
  <conditionalFormatting sqref="E1:E10">
    <cfRule type="expression" dxfId="227" priority="11">
      <formula>#REF!="程式組"</formula>
    </cfRule>
    <cfRule type="expression" dxfId="226" priority="12">
      <formula>#REF!="網路組"</formula>
    </cfRule>
  </conditionalFormatting>
  <conditionalFormatting sqref="E1:E21">
    <cfRule type="expression" dxfId="225" priority="13">
      <formula>#REF!="作業組"</formula>
    </cfRule>
    <cfRule type="expression" dxfId="224" priority="14">
      <formula>#REF!="教學組"</formula>
    </cfRule>
    <cfRule type="expression" dxfId="223" priority="15">
      <formula>#REF!="行政室"</formula>
    </cfRule>
  </conditionalFormatting>
  <conditionalFormatting sqref="E11:E21">
    <cfRule type="expression" dxfId="222" priority="16">
      <formula>#REF!="程式組"</formula>
    </cfRule>
    <cfRule type="expression" dxfId="221" priority="17">
      <formula>#REF!="網路組"</formula>
    </cfRule>
  </conditionalFormatting>
  <conditionalFormatting sqref="E1:E1048576">
    <cfRule type="expression" dxfId="220" priority="6">
      <formula>$A1="程式組"</formula>
    </cfRule>
    <cfRule type="expression" dxfId="219" priority="7">
      <formula>$A1="網路組"</formula>
    </cfRule>
    <cfRule type="expression" dxfId="218" priority="8">
      <formula>$A1="作業組"</formula>
    </cfRule>
    <cfRule type="expression" dxfId="217" priority="9">
      <formula>$A1="教學組"</formula>
    </cfRule>
    <cfRule type="expression" dxfId="216" priority="10">
      <formula>$A1="行政室"</formula>
    </cfRule>
  </conditionalFormatting>
  <conditionalFormatting sqref="E35">
    <cfRule type="expression" dxfId="215" priority="1">
      <formula>#REF!="作業組"</formula>
    </cfRule>
    <cfRule type="expression" dxfId="214" priority="2">
      <formula>#REF!="教學組"</formula>
    </cfRule>
    <cfRule type="expression" dxfId="213" priority="3">
      <formula>#REF!="行政室"</formula>
    </cfRule>
  </conditionalFormatting>
  <conditionalFormatting sqref="E35">
    <cfRule type="expression" dxfId="212" priority="4">
      <formula>#REF!="程式組"</formula>
    </cfRule>
    <cfRule type="expression" dxfId="211" priority="5">
      <formula>#REF!="網路組"</formula>
    </cfRule>
  </conditionalFormatting>
  <dataValidations count="1">
    <dataValidation type="list" allowBlank="1" showInputMessage="1" showErrorMessage="1" sqref="T2 T9" xr:uid="{CE245231-7E3A-4BC7-AA83-BC0D6373B4AC}">
      <formula1>$A:$A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20D98-2005-4D97-9D02-CE753A5E25FB}">
          <x14:formula1>
            <xm:f>item!$B$2:$B$6</xm:f>
          </x14:formula1>
          <xm:sqref>O2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639F-5158-46A1-BEE3-88DE2F994FD8}">
  <sheetPr>
    <tabColor indexed="45"/>
  </sheetPr>
  <dimension ref="A1:V54"/>
  <sheetViews>
    <sheetView zoomScale="115" zoomScaleNormal="115" workbookViewId="0">
      <pane xSplit="1" ySplit="1" topLeftCell="B2" activePane="bottomRight" state="frozen"/>
      <selection activeCell="I2" sqref="I2"/>
      <selection pane="topRight" activeCell="I2" sqref="I2"/>
      <selection pane="bottomLeft" activeCell="I2" sqref="I2"/>
      <selection pane="bottomRight" activeCell="Q46" sqref="Q46"/>
    </sheetView>
  </sheetViews>
  <sheetFormatPr defaultRowHeight="15.45" x14ac:dyDescent="0.4"/>
  <cols>
    <col min="1" max="1" width="5.6640625" style="100" customWidth="1"/>
    <col min="2" max="2" width="11.08203125" style="100" customWidth="1"/>
    <col min="3" max="3" width="9.4140625" style="99" customWidth="1"/>
    <col min="4" max="4" width="8.66406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6.75" style="100" customWidth="1"/>
    <col min="11" max="11" width="6" style="99" customWidth="1"/>
    <col min="12" max="12" width="6.5" style="99" customWidth="1"/>
    <col min="13" max="13" width="12.1640625" style="99" customWidth="1"/>
    <col min="14" max="14" width="6.1640625" style="99" customWidth="1"/>
    <col min="15" max="16" width="8.6640625" style="99"/>
    <col min="17" max="17" width="6.5" style="99" bestFit="1" customWidth="1"/>
    <col min="18" max="18" width="10" style="99" bestFit="1" customWidth="1"/>
    <col min="19" max="19" width="6" style="99" customWidth="1"/>
    <col min="20" max="20" width="8.58203125" style="99" customWidth="1"/>
    <col min="21" max="21" width="25.5" style="99" customWidth="1"/>
    <col min="22" max="250" width="8.6640625" style="99"/>
    <col min="251" max="251" width="6.6640625" style="99" customWidth="1"/>
    <col min="252" max="252" width="13.08203125" style="99" customWidth="1"/>
    <col min="253" max="253" width="7.9140625" style="99" bestFit="1" customWidth="1"/>
    <col min="254" max="254" width="11.4140625" style="99" customWidth="1"/>
    <col min="255" max="255" width="10.4140625" style="99" bestFit="1" customWidth="1"/>
    <col min="256" max="258" width="11.4140625" style="99" customWidth="1"/>
    <col min="259" max="259" width="10.4140625" style="99" bestFit="1" customWidth="1"/>
    <col min="260" max="506" width="8.6640625" style="99"/>
    <col min="507" max="507" width="6.6640625" style="99" customWidth="1"/>
    <col min="508" max="508" width="13.08203125" style="99" customWidth="1"/>
    <col min="509" max="509" width="7.9140625" style="99" bestFit="1" customWidth="1"/>
    <col min="510" max="510" width="11.4140625" style="99" customWidth="1"/>
    <col min="511" max="511" width="10.4140625" style="99" bestFit="1" customWidth="1"/>
    <col min="512" max="514" width="11.4140625" style="99" customWidth="1"/>
    <col min="515" max="515" width="10.4140625" style="99" bestFit="1" customWidth="1"/>
    <col min="516" max="762" width="8.6640625" style="99"/>
    <col min="763" max="763" width="6.6640625" style="99" customWidth="1"/>
    <col min="764" max="764" width="13.08203125" style="99" customWidth="1"/>
    <col min="765" max="765" width="7.9140625" style="99" bestFit="1" customWidth="1"/>
    <col min="766" max="766" width="11.4140625" style="99" customWidth="1"/>
    <col min="767" max="767" width="10.4140625" style="99" bestFit="1" customWidth="1"/>
    <col min="768" max="770" width="11.4140625" style="99" customWidth="1"/>
    <col min="771" max="771" width="10.4140625" style="99" bestFit="1" customWidth="1"/>
    <col min="772" max="1018" width="8.6640625" style="99"/>
    <col min="1019" max="1019" width="6.6640625" style="99" customWidth="1"/>
    <col min="1020" max="1020" width="13.08203125" style="99" customWidth="1"/>
    <col min="1021" max="1021" width="7.9140625" style="99" bestFit="1" customWidth="1"/>
    <col min="1022" max="1022" width="11.4140625" style="99" customWidth="1"/>
    <col min="1023" max="1023" width="10.4140625" style="99" bestFit="1" customWidth="1"/>
    <col min="1024" max="1026" width="11.4140625" style="99" customWidth="1"/>
    <col min="1027" max="1027" width="10.4140625" style="99" bestFit="1" customWidth="1"/>
    <col min="1028" max="1274" width="8.6640625" style="99"/>
    <col min="1275" max="1275" width="6.6640625" style="99" customWidth="1"/>
    <col min="1276" max="1276" width="13.08203125" style="99" customWidth="1"/>
    <col min="1277" max="1277" width="7.9140625" style="99" bestFit="1" customWidth="1"/>
    <col min="1278" max="1278" width="11.4140625" style="99" customWidth="1"/>
    <col min="1279" max="1279" width="10.4140625" style="99" bestFit="1" customWidth="1"/>
    <col min="1280" max="1282" width="11.4140625" style="99" customWidth="1"/>
    <col min="1283" max="1283" width="10.4140625" style="99" bestFit="1" customWidth="1"/>
    <col min="1284" max="1530" width="8.6640625" style="99"/>
    <col min="1531" max="1531" width="6.6640625" style="99" customWidth="1"/>
    <col min="1532" max="1532" width="13.08203125" style="99" customWidth="1"/>
    <col min="1533" max="1533" width="7.9140625" style="99" bestFit="1" customWidth="1"/>
    <col min="1534" max="1534" width="11.4140625" style="99" customWidth="1"/>
    <col min="1535" max="1535" width="10.4140625" style="99" bestFit="1" customWidth="1"/>
    <col min="1536" max="1538" width="11.4140625" style="99" customWidth="1"/>
    <col min="1539" max="1539" width="10.4140625" style="99" bestFit="1" customWidth="1"/>
    <col min="1540" max="1786" width="8.6640625" style="99"/>
    <col min="1787" max="1787" width="6.6640625" style="99" customWidth="1"/>
    <col min="1788" max="1788" width="13.08203125" style="99" customWidth="1"/>
    <col min="1789" max="1789" width="7.9140625" style="99" bestFit="1" customWidth="1"/>
    <col min="1790" max="1790" width="11.4140625" style="99" customWidth="1"/>
    <col min="1791" max="1791" width="10.4140625" style="99" bestFit="1" customWidth="1"/>
    <col min="1792" max="1794" width="11.4140625" style="99" customWidth="1"/>
    <col min="1795" max="1795" width="10.4140625" style="99" bestFit="1" customWidth="1"/>
    <col min="1796" max="2042" width="8.6640625" style="99"/>
    <col min="2043" max="2043" width="6.6640625" style="99" customWidth="1"/>
    <col min="2044" max="2044" width="13.08203125" style="99" customWidth="1"/>
    <col min="2045" max="2045" width="7.9140625" style="99" bestFit="1" customWidth="1"/>
    <col min="2046" max="2046" width="11.4140625" style="99" customWidth="1"/>
    <col min="2047" max="2047" width="10.4140625" style="99" bestFit="1" customWidth="1"/>
    <col min="2048" max="2050" width="11.4140625" style="99" customWidth="1"/>
    <col min="2051" max="2051" width="10.4140625" style="99" bestFit="1" customWidth="1"/>
    <col min="2052" max="2298" width="8.6640625" style="99"/>
    <col min="2299" max="2299" width="6.6640625" style="99" customWidth="1"/>
    <col min="2300" max="2300" width="13.08203125" style="99" customWidth="1"/>
    <col min="2301" max="2301" width="7.9140625" style="99" bestFit="1" customWidth="1"/>
    <col min="2302" max="2302" width="11.4140625" style="99" customWidth="1"/>
    <col min="2303" max="2303" width="10.4140625" style="99" bestFit="1" customWidth="1"/>
    <col min="2304" max="2306" width="11.4140625" style="99" customWidth="1"/>
    <col min="2307" max="2307" width="10.4140625" style="99" bestFit="1" customWidth="1"/>
    <col min="2308" max="2554" width="8.6640625" style="99"/>
    <col min="2555" max="2555" width="6.6640625" style="99" customWidth="1"/>
    <col min="2556" max="2556" width="13.08203125" style="99" customWidth="1"/>
    <col min="2557" max="2557" width="7.9140625" style="99" bestFit="1" customWidth="1"/>
    <col min="2558" max="2558" width="11.4140625" style="99" customWidth="1"/>
    <col min="2559" max="2559" width="10.4140625" style="99" bestFit="1" customWidth="1"/>
    <col min="2560" max="2562" width="11.4140625" style="99" customWidth="1"/>
    <col min="2563" max="2563" width="10.4140625" style="99" bestFit="1" customWidth="1"/>
    <col min="2564" max="2810" width="8.6640625" style="99"/>
    <col min="2811" max="2811" width="6.6640625" style="99" customWidth="1"/>
    <col min="2812" max="2812" width="13.08203125" style="99" customWidth="1"/>
    <col min="2813" max="2813" width="7.9140625" style="99" bestFit="1" customWidth="1"/>
    <col min="2814" max="2814" width="11.4140625" style="99" customWidth="1"/>
    <col min="2815" max="2815" width="10.4140625" style="99" bestFit="1" customWidth="1"/>
    <col min="2816" max="2818" width="11.4140625" style="99" customWidth="1"/>
    <col min="2819" max="2819" width="10.4140625" style="99" bestFit="1" customWidth="1"/>
    <col min="2820" max="3066" width="8.6640625" style="99"/>
    <col min="3067" max="3067" width="6.6640625" style="99" customWidth="1"/>
    <col min="3068" max="3068" width="13.08203125" style="99" customWidth="1"/>
    <col min="3069" max="3069" width="7.9140625" style="99" bestFit="1" customWidth="1"/>
    <col min="3070" max="3070" width="11.4140625" style="99" customWidth="1"/>
    <col min="3071" max="3071" width="10.4140625" style="99" bestFit="1" customWidth="1"/>
    <col min="3072" max="3074" width="11.4140625" style="99" customWidth="1"/>
    <col min="3075" max="3075" width="10.4140625" style="99" bestFit="1" customWidth="1"/>
    <col min="3076" max="3322" width="8.6640625" style="99"/>
    <col min="3323" max="3323" width="6.6640625" style="99" customWidth="1"/>
    <col min="3324" max="3324" width="13.08203125" style="99" customWidth="1"/>
    <col min="3325" max="3325" width="7.9140625" style="99" bestFit="1" customWidth="1"/>
    <col min="3326" max="3326" width="11.4140625" style="99" customWidth="1"/>
    <col min="3327" max="3327" width="10.4140625" style="99" bestFit="1" customWidth="1"/>
    <col min="3328" max="3330" width="11.4140625" style="99" customWidth="1"/>
    <col min="3331" max="3331" width="10.4140625" style="99" bestFit="1" customWidth="1"/>
    <col min="3332" max="3578" width="8.6640625" style="99"/>
    <col min="3579" max="3579" width="6.6640625" style="99" customWidth="1"/>
    <col min="3580" max="3580" width="13.08203125" style="99" customWidth="1"/>
    <col min="3581" max="3581" width="7.9140625" style="99" bestFit="1" customWidth="1"/>
    <col min="3582" max="3582" width="11.4140625" style="99" customWidth="1"/>
    <col min="3583" max="3583" width="10.4140625" style="99" bestFit="1" customWidth="1"/>
    <col min="3584" max="3586" width="11.4140625" style="99" customWidth="1"/>
    <col min="3587" max="3587" width="10.4140625" style="99" bestFit="1" customWidth="1"/>
    <col min="3588" max="3834" width="8.6640625" style="99"/>
    <col min="3835" max="3835" width="6.6640625" style="99" customWidth="1"/>
    <col min="3836" max="3836" width="13.08203125" style="99" customWidth="1"/>
    <col min="3837" max="3837" width="7.9140625" style="99" bestFit="1" customWidth="1"/>
    <col min="3838" max="3838" width="11.4140625" style="99" customWidth="1"/>
    <col min="3839" max="3839" width="10.4140625" style="99" bestFit="1" customWidth="1"/>
    <col min="3840" max="3842" width="11.4140625" style="99" customWidth="1"/>
    <col min="3843" max="3843" width="10.4140625" style="99" bestFit="1" customWidth="1"/>
    <col min="3844" max="4090" width="8.6640625" style="99"/>
    <col min="4091" max="4091" width="6.6640625" style="99" customWidth="1"/>
    <col min="4092" max="4092" width="13.08203125" style="99" customWidth="1"/>
    <col min="4093" max="4093" width="7.9140625" style="99" bestFit="1" customWidth="1"/>
    <col min="4094" max="4094" width="11.4140625" style="99" customWidth="1"/>
    <col min="4095" max="4095" width="10.4140625" style="99" bestFit="1" customWidth="1"/>
    <col min="4096" max="4098" width="11.4140625" style="99" customWidth="1"/>
    <col min="4099" max="4099" width="10.4140625" style="99" bestFit="1" customWidth="1"/>
    <col min="4100" max="4346" width="8.6640625" style="99"/>
    <col min="4347" max="4347" width="6.6640625" style="99" customWidth="1"/>
    <col min="4348" max="4348" width="13.08203125" style="99" customWidth="1"/>
    <col min="4349" max="4349" width="7.9140625" style="99" bestFit="1" customWidth="1"/>
    <col min="4350" max="4350" width="11.4140625" style="99" customWidth="1"/>
    <col min="4351" max="4351" width="10.4140625" style="99" bestFit="1" customWidth="1"/>
    <col min="4352" max="4354" width="11.4140625" style="99" customWidth="1"/>
    <col min="4355" max="4355" width="10.4140625" style="99" bestFit="1" customWidth="1"/>
    <col min="4356" max="4602" width="8.6640625" style="99"/>
    <col min="4603" max="4603" width="6.6640625" style="99" customWidth="1"/>
    <col min="4604" max="4604" width="13.08203125" style="99" customWidth="1"/>
    <col min="4605" max="4605" width="7.9140625" style="99" bestFit="1" customWidth="1"/>
    <col min="4606" max="4606" width="11.4140625" style="99" customWidth="1"/>
    <col min="4607" max="4607" width="10.4140625" style="99" bestFit="1" customWidth="1"/>
    <col min="4608" max="4610" width="11.4140625" style="99" customWidth="1"/>
    <col min="4611" max="4611" width="10.4140625" style="99" bestFit="1" customWidth="1"/>
    <col min="4612" max="4858" width="8.6640625" style="99"/>
    <col min="4859" max="4859" width="6.6640625" style="99" customWidth="1"/>
    <col min="4860" max="4860" width="13.08203125" style="99" customWidth="1"/>
    <col min="4861" max="4861" width="7.9140625" style="99" bestFit="1" customWidth="1"/>
    <col min="4862" max="4862" width="11.4140625" style="99" customWidth="1"/>
    <col min="4863" max="4863" width="10.4140625" style="99" bestFit="1" customWidth="1"/>
    <col min="4864" max="4866" width="11.4140625" style="99" customWidth="1"/>
    <col min="4867" max="4867" width="10.4140625" style="99" bestFit="1" customWidth="1"/>
    <col min="4868" max="5114" width="8.6640625" style="99"/>
    <col min="5115" max="5115" width="6.6640625" style="99" customWidth="1"/>
    <col min="5116" max="5116" width="13.08203125" style="99" customWidth="1"/>
    <col min="5117" max="5117" width="7.9140625" style="99" bestFit="1" customWidth="1"/>
    <col min="5118" max="5118" width="11.4140625" style="99" customWidth="1"/>
    <col min="5119" max="5119" width="10.4140625" style="99" bestFit="1" customWidth="1"/>
    <col min="5120" max="5122" width="11.4140625" style="99" customWidth="1"/>
    <col min="5123" max="5123" width="10.4140625" style="99" bestFit="1" customWidth="1"/>
    <col min="5124" max="5370" width="8.6640625" style="99"/>
    <col min="5371" max="5371" width="6.6640625" style="99" customWidth="1"/>
    <col min="5372" max="5372" width="13.08203125" style="99" customWidth="1"/>
    <col min="5373" max="5373" width="7.9140625" style="99" bestFit="1" customWidth="1"/>
    <col min="5374" max="5374" width="11.4140625" style="99" customWidth="1"/>
    <col min="5375" max="5375" width="10.4140625" style="99" bestFit="1" customWidth="1"/>
    <col min="5376" max="5378" width="11.4140625" style="99" customWidth="1"/>
    <col min="5379" max="5379" width="10.4140625" style="99" bestFit="1" customWidth="1"/>
    <col min="5380" max="5626" width="8.6640625" style="99"/>
    <col min="5627" max="5627" width="6.6640625" style="99" customWidth="1"/>
    <col min="5628" max="5628" width="13.08203125" style="99" customWidth="1"/>
    <col min="5629" max="5629" width="7.9140625" style="99" bestFit="1" customWidth="1"/>
    <col min="5630" max="5630" width="11.4140625" style="99" customWidth="1"/>
    <col min="5631" max="5631" width="10.4140625" style="99" bestFit="1" customWidth="1"/>
    <col min="5632" max="5634" width="11.4140625" style="99" customWidth="1"/>
    <col min="5635" max="5635" width="10.4140625" style="99" bestFit="1" customWidth="1"/>
    <col min="5636" max="5882" width="8.6640625" style="99"/>
    <col min="5883" max="5883" width="6.6640625" style="99" customWidth="1"/>
    <col min="5884" max="5884" width="13.08203125" style="99" customWidth="1"/>
    <col min="5885" max="5885" width="7.9140625" style="99" bestFit="1" customWidth="1"/>
    <col min="5886" max="5886" width="11.4140625" style="99" customWidth="1"/>
    <col min="5887" max="5887" width="10.4140625" style="99" bestFit="1" customWidth="1"/>
    <col min="5888" max="5890" width="11.4140625" style="99" customWidth="1"/>
    <col min="5891" max="5891" width="10.4140625" style="99" bestFit="1" customWidth="1"/>
    <col min="5892" max="6138" width="8.6640625" style="99"/>
    <col min="6139" max="6139" width="6.6640625" style="99" customWidth="1"/>
    <col min="6140" max="6140" width="13.08203125" style="99" customWidth="1"/>
    <col min="6141" max="6141" width="7.9140625" style="99" bestFit="1" customWidth="1"/>
    <col min="6142" max="6142" width="11.4140625" style="99" customWidth="1"/>
    <col min="6143" max="6143" width="10.4140625" style="99" bestFit="1" customWidth="1"/>
    <col min="6144" max="6146" width="11.4140625" style="99" customWidth="1"/>
    <col min="6147" max="6147" width="10.4140625" style="99" bestFit="1" customWidth="1"/>
    <col min="6148" max="6394" width="8.6640625" style="99"/>
    <col min="6395" max="6395" width="6.6640625" style="99" customWidth="1"/>
    <col min="6396" max="6396" width="13.08203125" style="99" customWidth="1"/>
    <col min="6397" max="6397" width="7.9140625" style="99" bestFit="1" customWidth="1"/>
    <col min="6398" max="6398" width="11.4140625" style="99" customWidth="1"/>
    <col min="6399" max="6399" width="10.4140625" style="99" bestFit="1" customWidth="1"/>
    <col min="6400" max="6402" width="11.4140625" style="99" customWidth="1"/>
    <col min="6403" max="6403" width="10.4140625" style="99" bestFit="1" customWidth="1"/>
    <col min="6404" max="6650" width="8.6640625" style="99"/>
    <col min="6651" max="6651" width="6.6640625" style="99" customWidth="1"/>
    <col min="6652" max="6652" width="13.08203125" style="99" customWidth="1"/>
    <col min="6653" max="6653" width="7.9140625" style="99" bestFit="1" customWidth="1"/>
    <col min="6654" max="6654" width="11.4140625" style="99" customWidth="1"/>
    <col min="6655" max="6655" width="10.4140625" style="99" bestFit="1" customWidth="1"/>
    <col min="6656" max="6658" width="11.4140625" style="99" customWidth="1"/>
    <col min="6659" max="6659" width="10.4140625" style="99" bestFit="1" customWidth="1"/>
    <col min="6660" max="6906" width="8.6640625" style="99"/>
    <col min="6907" max="6907" width="6.6640625" style="99" customWidth="1"/>
    <col min="6908" max="6908" width="13.08203125" style="99" customWidth="1"/>
    <col min="6909" max="6909" width="7.9140625" style="99" bestFit="1" customWidth="1"/>
    <col min="6910" max="6910" width="11.4140625" style="99" customWidth="1"/>
    <col min="6911" max="6911" width="10.4140625" style="99" bestFit="1" customWidth="1"/>
    <col min="6912" max="6914" width="11.4140625" style="99" customWidth="1"/>
    <col min="6915" max="6915" width="10.4140625" style="99" bestFit="1" customWidth="1"/>
    <col min="6916" max="7162" width="8.6640625" style="99"/>
    <col min="7163" max="7163" width="6.6640625" style="99" customWidth="1"/>
    <col min="7164" max="7164" width="13.08203125" style="99" customWidth="1"/>
    <col min="7165" max="7165" width="7.9140625" style="99" bestFit="1" customWidth="1"/>
    <col min="7166" max="7166" width="11.4140625" style="99" customWidth="1"/>
    <col min="7167" max="7167" width="10.4140625" style="99" bestFit="1" customWidth="1"/>
    <col min="7168" max="7170" width="11.4140625" style="99" customWidth="1"/>
    <col min="7171" max="7171" width="10.4140625" style="99" bestFit="1" customWidth="1"/>
    <col min="7172" max="7418" width="8.6640625" style="99"/>
    <col min="7419" max="7419" width="6.6640625" style="99" customWidth="1"/>
    <col min="7420" max="7420" width="13.08203125" style="99" customWidth="1"/>
    <col min="7421" max="7421" width="7.9140625" style="99" bestFit="1" customWidth="1"/>
    <col min="7422" max="7422" width="11.4140625" style="99" customWidth="1"/>
    <col min="7423" max="7423" width="10.4140625" style="99" bestFit="1" customWidth="1"/>
    <col min="7424" max="7426" width="11.4140625" style="99" customWidth="1"/>
    <col min="7427" max="7427" width="10.4140625" style="99" bestFit="1" customWidth="1"/>
    <col min="7428" max="7674" width="8.6640625" style="99"/>
    <col min="7675" max="7675" width="6.6640625" style="99" customWidth="1"/>
    <col min="7676" max="7676" width="13.08203125" style="99" customWidth="1"/>
    <col min="7677" max="7677" width="7.9140625" style="99" bestFit="1" customWidth="1"/>
    <col min="7678" max="7678" width="11.4140625" style="99" customWidth="1"/>
    <col min="7679" max="7679" width="10.4140625" style="99" bestFit="1" customWidth="1"/>
    <col min="7680" max="7682" width="11.4140625" style="99" customWidth="1"/>
    <col min="7683" max="7683" width="10.4140625" style="99" bestFit="1" customWidth="1"/>
    <col min="7684" max="7930" width="8.6640625" style="99"/>
    <col min="7931" max="7931" width="6.6640625" style="99" customWidth="1"/>
    <col min="7932" max="7932" width="13.08203125" style="99" customWidth="1"/>
    <col min="7933" max="7933" width="7.9140625" style="99" bestFit="1" customWidth="1"/>
    <col min="7934" max="7934" width="11.4140625" style="99" customWidth="1"/>
    <col min="7935" max="7935" width="10.4140625" style="99" bestFit="1" customWidth="1"/>
    <col min="7936" max="7938" width="11.4140625" style="99" customWidth="1"/>
    <col min="7939" max="7939" width="10.4140625" style="99" bestFit="1" customWidth="1"/>
    <col min="7940" max="8186" width="8.6640625" style="99"/>
    <col min="8187" max="8187" width="6.6640625" style="99" customWidth="1"/>
    <col min="8188" max="8188" width="13.08203125" style="99" customWidth="1"/>
    <col min="8189" max="8189" width="7.9140625" style="99" bestFit="1" customWidth="1"/>
    <col min="8190" max="8190" width="11.4140625" style="99" customWidth="1"/>
    <col min="8191" max="8191" width="10.4140625" style="99" bestFit="1" customWidth="1"/>
    <col min="8192" max="8194" width="11.4140625" style="99" customWidth="1"/>
    <col min="8195" max="8195" width="10.4140625" style="99" bestFit="1" customWidth="1"/>
    <col min="8196" max="8442" width="8.6640625" style="99"/>
    <col min="8443" max="8443" width="6.6640625" style="99" customWidth="1"/>
    <col min="8444" max="8444" width="13.08203125" style="99" customWidth="1"/>
    <col min="8445" max="8445" width="7.9140625" style="99" bestFit="1" customWidth="1"/>
    <col min="8446" max="8446" width="11.4140625" style="99" customWidth="1"/>
    <col min="8447" max="8447" width="10.4140625" style="99" bestFit="1" customWidth="1"/>
    <col min="8448" max="8450" width="11.4140625" style="99" customWidth="1"/>
    <col min="8451" max="8451" width="10.4140625" style="99" bestFit="1" customWidth="1"/>
    <col min="8452" max="8698" width="8.6640625" style="99"/>
    <col min="8699" max="8699" width="6.6640625" style="99" customWidth="1"/>
    <col min="8700" max="8700" width="13.08203125" style="99" customWidth="1"/>
    <col min="8701" max="8701" width="7.9140625" style="99" bestFit="1" customWidth="1"/>
    <col min="8702" max="8702" width="11.4140625" style="99" customWidth="1"/>
    <col min="8703" max="8703" width="10.4140625" style="99" bestFit="1" customWidth="1"/>
    <col min="8704" max="8706" width="11.4140625" style="99" customWidth="1"/>
    <col min="8707" max="8707" width="10.4140625" style="99" bestFit="1" customWidth="1"/>
    <col min="8708" max="8954" width="8.6640625" style="99"/>
    <col min="8955" max="8955" width="6.6640625" style="99" customWidth="1"/>
    <col min="8956" max="8956" width="13.08203125" style="99" customWidth="1"/>
    <col min="8957" max="8957" width="7.9140625" style="99" bestFit="1" customWidth="1"/>
    <col min="8958" max="8958" width="11.4140625" style="99" customWidth="1"/>
    <col min="8959" max="8959" width="10.4140625" style="99" bestFit="1" customWidth="1"/>
    <col min="8960" max="8962" width="11.4140625" style="99" customWidth="1"/>
    <col min="8963" max="8963" width="10.4140625" style="99" bestFit="1" customWidth="1"/>
    <col min="8964" max="9210" width="8.6640625" style="99"/>
    <col min="9211" max="9211" width="6.6640625" style="99" customWidth="1"/>
    <col min="9212" max="9212" width="13.08203125" style="99" customWidth="1"/>
    <col min="9213" max="9213" width="7.9140625" style="99" bestFit="1" customWidth="1"/>
    <col min="9214" max="9214" width="11.4140625" style="99" customWidth="1"/>
    <col min="9215" max="9215" width="10.4140625" style="99" bestFit="1" customWidth="1"/>
    <col min="9216" max="9218" width="11.4140625" style="99" customWidth="1"/>
    <col min="9219" max="9219" width="10.4140625" style="99" bestFit="1" customWidth="1"/>
    <col min="9220" max="9466" width="8.6640625" style="99"/>
    <col min="9467" max="9467" width="6.6640625" style="99" customWidth="1"/>
    <col min="9468" max="9468" width="13.08203125" style="99" customWidth="1"/>
    <col min="9469" max="9469" width="7.9140625" style="99" bestFit="1" customWidth="1"/>
    <col min="9470" max="9470" width="11.4140625" style="99" customWidth="1"/>
    <col min="9471" max="9471" width="10.4140625" style="99" bestFit="1" customWidth="1"/>
    <col min="9472" max="9474" width="11.4140625" style="99" customWidth="1"/>
    <col min="9475" max="9475" width="10.4140625" style="99" bestFit="1" customWidth="1"/>
    <col min="9476" max="9722" width="8.6640625" style="99"/>
    <col min="9723" max="9723" width="6.6640625" style="99" customWidth="1"/>
    <col min="9724" max="9724" width="13.08203125" style="99" customWidth="1"/>
    <col min="9725" max="9725" width="7.9140625" style="99" bestFit="1" customWidth="1"/>
    <col min="9726" max="9726" width="11.4140625" style="99" customWidth="1"/>
    <col min="9727" max="9727" width="10.4140625" style="99" bestFit="1" customWidth="1"/>
    <col min="9728" max="9730" width="11.4140625" style="99" customWidth="1"/>
    <col min="9731" max="9731" width="10.4140625" style="99" bestFit="1" customWidth="1"/>
    <col min="9732" max="9978" width="8.6640625" style="99"/>
    <col min="9979" max="9979" width="6.6640625" style="99" customWidth="1"/>
    <col min="9980" max="9980" width="13.08203125" style="99" customWidth="1"/>
    <col min="9981" max="9981" width="7.9140625" style="99" bestFit="1" customWidth="1"/>
    <col min="9982" max="9982" width="11.4140625" style="99" customWidth="1"/>
    <col min="9983" max="9983" width="10.4140625" style="99" bestFit="1" customWidth="1"/>
    <col min="9984" max="9986" width="11.4140625" style="99" customWidth="1"/>
    <col min="9987" max="9987" width="10.4140625" style="99" bestFit="1" customWidth="1"/>
    <col min="9988" max="10234" width="8.6640625" style="99"/>
    <col min="10235" max="10235" width="6.6640625" style="99" customWidth="1"/>
    <col min="10236" max="10236" width="13.08203125" style="99" customWidth="1"/>
    <col min="10237" max="10237" width="7.9140625" style="99" bestFit="1" customWidth="1"/>
    <col min="10238" max="10238" width="11.4140625" style="99" customWidth="1"/>
    <col min="10239" max="10239" width="10.4140625" style="99" bestFit="1" customWidth="1"/>
    <col min="10240" max="10242" width="11.4140625" style="99" customWidth="1"/>
    <col min="10243" max="10243" width="10.4140625" style="99" bestFit="1" customWidth="1"/>
    <col min="10244" max="10490" width="8.6640625" style="99"/>
    <col min="10491" max="10491" width="6.6640625" style="99" customWidth="1"/>
    <col min="10492" max="10492" width="13.08203125" style="99" customWidth="1"/>
    <col min="10493" max="10493" width="7.9140625" style="99" bestFit="1" customWidth="1"/>
    <col min="10494" max="10494" width="11.4140625" style="99" customWidth="1"/>
    <col min="10495" max="10495" width="10.4140625" style="99" bestFit="1" customWidth="1"/>
    <col min="10496" max="10498" width="11.4140625" style="99" customWidth="1"/>
    <col min="10499" max="10499" width="10.4140625" style="99" bestFit="1" customWidth="1"/>
    <col min="10500" max="10746" width="8.6640625" style="99"/>
    <col min="10747" max="10747" width="6.6640625" style="99" customWidth="1"/>
    <col min="10748" max="10748" width="13.08203125" style="99" customWidth="1"/>
    <col min="10749" max="10749" width="7.9140625" style="99" bestFit="1" customWidth="1"/>
    <col min="10750" max="10750" width="11.4140625" style="99" customWidth="1"/>
    <col min="10751" max="10751" width="10.4140625" style="99" bestFit="1" customWidth="1"/>
    <col min="10752" max="10754" width="11.4140625" style="99" customWidth="1"/>
    <col min="10755" max="10755" width="10.4140625" style="99" bestFit="1" customWidth="1"/>
    <col min="10756" max="11002" width="8.6640625" style="99"/>
    <col min="11003" max="11003" width="6.6640625" style="99" customWidth="1"/>
    <col min="11004" max="11004" width="13.08203125" style="99" customWidth="1"/>
    <col min="11005" max="11005" width="7.9140625" style="99" bestFit="1" customWidth="1"/>
    <col min="11006" max="11006" width="11.4140625" style="99" customWidth="1"/>
    <col min="11007" max="11007" width="10.4140625" style="99" bestFit="1" customWidth="1"/>
    <col min="11008" max="11010" width="11.4140625" style="99" customWidth="1"/>
    <col min="11011" max="11011" width="10.4140625" style="99" bestFit="1" customWidth="1"/>
    <col min="11012" max="11258" width="8.6640625" style="99"/>
    <col min="11259" max="11259" width="6.6640625" style="99" customWidth="1"/>
    <col min="11260" max="11260" width="13.08203125" style="99" customWidth="1"/>
    <col min="11261" max="11261" width="7.9140625" style="99" bestFit="1" customWidth="1"/>
    <col min="11262" max="11262" width="11.4140625" style="99" customWidth="1"/>
    <col min="11263" max="11263" width="10.4140625" style="99" bestFit="1" customWidth="1"/>
    <col min="11264" max="11266" width="11.4140625" style="99" customWidth="1"/>
    <col min="11267" max="11267" width="10.4140625" style="99" bestFit="1" customWidth="1"/>
    <col min="11268" max="11514" width="8.6640625" style="99"/>
    <col min="11515" max="11515" width="6.6640625" style="99" customWidth="1"/>
    <col min="11516" max="11516" width="13.08203125" style="99" customWidth="1"/>
    <col min="11517" max="11517" width="7.9140625" style="99" bestFit="1" customWidth="1"/>
    <col min="11518" max="11518" width="11.4140625" style="99" customWidth="1"/>
    <col min="11519" max="11519" width="10.4140625" style="99" bestFit="1" customWidth="1"/>
    <col min="11520" max="11522" width="11.4140625" style="99" customWidth="1"/>
    <col min="11523" max="11523" width="10.4140625" style="99" bestFit="1" customWidth="1"/>
    <col min="11524" max="11770" width="8.6640625" style="99"/>
    <col min="11771" max="11771" width="6.6640625" style="99" customWidth="1"/>
    <col min="11772" max="11772" width="13.08203125" style="99" customWidth="1"/>
    <col min="11773" max="11773" width="7.9140625" style="99" bestFit="1" customWidth="1"/>
    <col min="11774" max="11774" width="11.4140625" style="99" customWidth="1"/>
    <col min="11775" max="11775" width="10.4140625" style="99" bestFit="1" customWidth="1"/>
    <col min="11776" max="11778" width="11.4140625" style="99" customWidth="1"/>
    <col min="11779" max="11779" width="10.4140625" style="99" bestFit="1" customWidth="1"/>
    <col min="11780" max="12026" width="8.6640625" style="99"/>
    <col min="12027" max="12027" width="6.6640625" style="99" customWidth="1"/>
    <col min="12028" max="12028" width="13.08203125" style="99" customWidth="1"/>
    <col min="12029" max="12029" width="7.9140625" style="99" bestFit="1" customWidth="1"/>
    <col min="12030" max="12030" width="11.4140625" style="99" customWidth="1"/>
    <col min="12031" max="12031" width="10.4140625" style="99" bestFit="1" customWidth="1"/>
    <col min="12032" max="12034" width="11.4140625" style="99" customWidth="1"/>
    <col min="12035" max="12035" width="10.4140625" style="99" bestFit="1" customWidth="1"/>
    <col min="12036" max="12282" width="8.6640625" style="99"/>
    <col min="12283" max="12283" width="6.6640625" style="99" customWidth="1"/>
    <col min="12284" max="12284" width="13.08203125" style="99" customWidth="1"/>
    <col min="12285" max="12285" width="7.9140625" style="99" bestFit="1" customWidth="1"/>
    <col min="12286" max="12286" width="11.4140625" style="99" customWidth="1"/>
    <col min="12287" max="12287" width="10.4140625" style="99" bestFit="1" customWidth="1"/>
    <col min="12288" max="12290" width="11.4140625" style="99" customWidth="1"/>
    <col min="12291" max="12291" width="10.4140625" style="99" bestFit="1" customWidth="1"/>
    <col min="12292" max="12538" width="8.6640625" style="99"/>
    <col min="12539" max="12539" width="6.6640625" style="99" customWidth="1"/>
    <col min="12540" max="12540" width="13.08203125" style="99" customWidth="1"/>
    <col min="12541" max="12541" width="7.9140625" style="99" bestFit="1" customWidth="1"/>
    <col min="12542" max="12542" width="11.4140625" style="99" customWidth="1"/>
    <col min="12543" max="12543" width="10.4140625" style="99" bestFit="1" customWidth="1"/>
    <col min="12544" max="12546" width="11.4140625" style="99" customWidth="1"/>
    <col min="12547" max="12547" width="10.4140625" style="99" bestFit="1" customWidth="1"/>
    <col min="12548" max="12794" width="8.6640625" style="99"/>
    <col min="12795" max="12795" width="6.6640625" style="99" customWidth="1"/>
    <col min="12796" max="12796" width="13.08203125" style="99" customWidth="1"/>
    <col min="12797" max="12797" width="7.9140625" style="99" bestFit="1" customWidth="1"/>
    <col min="12798" max="12798" width="11.4140625" style="99" customWidth="1"/>
    <col min="12799" max="12799" width="10.4140625" style="99" bestFit="1" customWidth="1"/>
    <col min="12800" max="12802" width="11.4140625" style="99" customWidth="1"/>
    <col min="12803" max="12803" width="10.4140625" style="99" bestFit="1" customWidth="1"/>
    <col min="12804" max="13050" width="8.6640625" style="99"/>
    <col min="13051" max="13051" width="6.6640625" style="99" customWidth="1"/>
    <col min="13052" max="13052" width="13.08203125" style="99" customWidth="1"/>
    <col min="13053" max="13053" width="7.9140625" style="99" bestFit="1" customWidth="1"/>
    <col min="13054" max="13054" width="11.4140625" style="99" customWidth="1"/>
    <col min="13055" max="13055" width="10.4140625" style="99" bestFit="1" customWidth="1"/>
    <col min="13056" max="13058" width="11.4140625" style="99" customWidth="1"/>
    <col min="13059" max="13059" width="10.4140625" style="99" bestFit="1" customWidth="1"/>
    <col min="13060" max="13306" width="8.6640625" style="99"/>
    <col min="13307" max="13307" width="6.6640625" style="99" customWidth="1"/>
    <col min="13308" max="13308" width="13.08203125" style="99" customWidth="1"/>
    <col min="13309" max="13309" width="7.9140625" style="99" bestFit="1" customWidth="1"/>
    <col min="13310" max="13310" width="11.4140625" style="99" customWidth="1"/>
    <col min="13311" max="13311" width="10.4140625" style="99" bestFit="1" customWidth="1"/>
    <col min="13312" max="13314" width="11.4140625" style="99" customWidth="1"/>
    <col min="13315" max="13315" width="10.4140625" style="99" bestFit="1" customWidth="1"/>
    <col min="13316" max="13562" width="8.6640625" style="99"/>
    <col min="13563" max="13563" width="6.6640625" style="99" customWidth="1"/>
    <col min="13564" max="13564" width="13.08203125" style="99" customWidth="1"/>
    <col min="13565" max="13565" width="7.9140625" style="99" bestFit="1" customWidth="1"/>
    <col min="13566" max="13566" width="11.4140625" style="99" customWidth="1"/>
    <col min="13567" max="13567" width="10.4140625" style="99" bestFit="1" customWidth="1"/>
    <col min="13568" max="13570" width="11.4140625" style="99" customWidth="1"/>
    <col min="13571" max="13571" width="10.4140625" style="99" bestFit="1" customWidth="1"/>
    <col min="13572" max="13818" width="8.6640625" style="99"/>
    <col min="13819" max="13819" width="6.6640625" style="99" customWidth="1"/>
    <col min="13820" max="13820" width="13.08203125" style="99" customWidth="1"/>
    <col min="13821" max="13821" width="7.9140625" style="99" bestFit="1" customWidth="1"/>
    <col min="13822" max="13822" width="11.4140625" style="99" customWidth="1"/>
    <col min="13823" max="13823" width="10.4140625" style="99" bestFit="1" customWidth="1"/>
    <col min="13824" max="13826" width="11.4140625" style="99" customWidth="1"/>
    <col min="13827" max="13827" width="10.4140625" style="99" bestFit="1" customWidth="1"/>
    <col min="13828" max="14074" width="8.6640625" style="99"/>
    <col min="14075" max="14075" width="6.6640625" style="99" customWidth="1"/>
    <col min="14076" max="14076" width="13.08203125" style="99" customWidth="1"/>
    <col min="14077" max="14077" width="7.9140625" style="99" bestFit="1" customWidth="1"/>
    <col min="14078" max="14078" width="11.4140625" style="99" customWidth="1"/>
    <col min="14079" max="14079" width="10.4140625" style="99" bestFit="1" customWidth="1"/>
    <col min="14080" max="14082" width="11.4140625" style="99" customWidth="1"/>
    <col min="14083" max="14083" width="10.4140625" style="99" bestFit="1" customWidth="1"/>
    <col min="14084" max="14330" width="8.6640625" style="99"/>
    <col min="14331" max="14331" width="6.6640625" style="99" customWidth="1"/>
    <col min="14332" max="14332" width="13.08203125" style="99" customWidth="1"/>
    <col min="14333" max="14333" width="7.9140625" style="99" bestFit="1" customWidth="1"/>
    <col min="14334" max="14334" width="11.4140625" style="99" customWidth="1"/>
    <col min="14335" max="14335" width="10.4140625" style="99" bestFit="1" customWidth="1"/>
    <col min="14336" max="14338" width="11.4140625" style="99" customWidth="1"/>
    <col min="14339" max="14339" width="10.4140625" style="99" bestFit="1" customWidth="1"/>
    <col min="14340" max="14586" width="8.6640625" style="99"/>
    <col min="14587" max="14587" width="6.6640625" style="99" customWidth="1"/>
    <col min="14588" max="14588" width="13.08203125" style="99" customWidth="1"/>
    <col min="14589" max="14589" width="7.9140625" style="99" bestFit="1" customWidth="1"/>
    <col min="14590" max="14590" width="11.4140625" style="99" customWidth="1"/>
    <col min="14591" max="14591" width="10.4140625" style="99" bestFit="1" customWidth="1"/>
    <col min="14592" max="14594" width="11.4140625" style="99" customWidth="1"/>
    <col min="14595" max="14595" width="10.4140625" style="99" bestFit="1" customWidth="1"/>
    <col min="14596" max="14842" width="8.6640625" style="99"/>
    <col min="14843" max="14843" width="6.6640625" style="99" customWidth="1"/>
    <col min="14844" max="14844" width="13.08203125" style="99" customWidth="1"/>
    <col min="14845" max="14845" width="7.9140625" style="99" bestFit="1" customWidth="1"/>
    <col min="14846" max="14846" width="11.4140625" style="99" customWidth="1"/>
    <col min="14847" max="14847" width="10.4140625" style="99" bestFit="1" customWidth="1"/>
    <col min="14848" max="14850" width="11.4140625" style="99" customWidth="1"/>
    <col min="14851" max="14851" width="10.4140625" style="99" bestFit="1" customWidth="1"/>
    <col min="14852" max="15098" width="8.6640625" style="99"/>
    <col min="15099" max="15099" width="6.6640625" style="99" customWidth="1"/>
    <col min="15100" max="15100" width="13.08203125" style="99" customWidth="1"/>
    <col min="15101" max="15101" width="7.9140625" style="99" bestFit="1" customWidth="1"/>
    <col min="15102" max="15102" width="11.4140625" style="99" customWidth="1"/>
    <col min="15103" max="15103" width="10.4140625" style="99" bestFit="1" customWidth="1"/>
    <col min="15104" max="15106" width="11.4140625" style="99" customWidth="1"/>
    <col min="15107" max="15107" width="10.4140625" style="99" bestFit="1" customWidth="1"/>
    <col min="15108" max="15354" width="8.6640625" style="99"/>
    <col min="15355" max="15355" width="6.6640625" style="99" customWidth="1"/>
    <col min="15356" max="15356" width="13.08203125" style="99" customWidth="1"/>
    <col min="15357" max="15357" width="7.9140625" style="99" bestFit="1" customWidth="1"/>
    <col min="15358" max="15358" width="11.4140625" style="99" customWidth="1"/>
    <col min="15359" max="15359" width="10.4140625" style="99" bestFit="1" customWidth="1"/>
    <col min="15360" max="15362" width="11.4140625" style="99" customWidth="1"/>
    <col min="15363" max="15363" width="10.4140625" style="99" bestFit="1" customWidth="1"/>
    <col min="15364" max="15610" width="8.6640625" style="99"/>
    <col min="15611" max="15611" width="6.6640625" style="99" customWidth="1"/>
    <col min="15612" max="15612" width="13.08203125" style="99" customWidth="1"/>
    <col min="15613" max="15613" width="7.9140625" style="99" bestFit="1" customWidth="1"/>
    <col min="15614" max="15614" width="11.4140625" style="99" customWidth="1"/>
    <col min="15615" max="15615" width="10.4140625" style="99" bestFit="1" customWidth="1"/>
    <col min="15616" max="15618" width="11.4140625" style="99" customWidth="1"/>
    <col min="15619" max="15619" width="10.4140625" style="99" bestFit="1" customWidth="1"/>
    <col min="15620" max="15866" width="8.6640625" style="99"/>
    <col min="15867" max="15867" width="6.6640625" style="99" customWidth="1"/>
    <col min="15868" max="15868" width="13.08203125" style="99" customWidth="1"/>
    <col min="15869" max="15869" width="7.9140625" style="99" bestFit="1" customWidth="1"/>
    <col min="15870" max="15870" width="11.4140625" style="99" customWidth="1"/>
    <col min="15871" max="15871" width="10.4140625" style="99" bestFit="1" customWidth="1"/>
    <col min="15872" max="15874" width="11.4140625" style="99" customWidth="1"/>
    <col min="15875" max="15875" width="10.4140625" style="99" bestFit="1" customWidth="1"/>
    <col min="15876" max="16122" width="8.6640625" style="99"/>
    <col min="16123" max="16123" width="6.6640625" style="99" customWidth="1"/>
    <col min="16124" max="16124" width="13.08203125" style="99" customWidth="1"/>
    <col min="16125" max="16125" width="7.9140625" style="99" bestFit="1" customWidth="1"/>
    <col min="16126" max="16126" width="11.4140625" style="99" customWidth="1"/>
    <col min="16127" max="16127" width="10.4140625" style="99" bestFit="1" customWidth="1"/>
    <col min="16128" max="16130" width="11.4140625" style="99" customWidth="1"/>
    <col min="16131" max="16131" width="10.4140625" style="99" bestFit="1" customWidth="1"/>
    <col min="16132" max="16384" width="8.6640625" style="99"/>
  </cols>
  <sheetData>
    <row r="1" spans="1:22" s="100" customFormat="1" x14ac:dyDescent="0.4">
      <c r="A1" s="287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L1" s="100" t="s">
        <v>902</v>
      </c>
      <c r="M1" s="100" t="s">
        <v>903</v>
      </c>
      <c r="O1" s="38" t="s">
        <v>623</v>
      </c>
      <c r="P1" s="38" t="s">
        <v>624</v>
      </c>
      <c r="Q1" s="39" t="s">
        <v>621</v>
      </c>
      <c r="R1" s="40" t="s">
        <v>622</v>
      </c>
      <c r="T1" s="39" t="s">
        <v>621</v>
      </c>
      <c r="U1" s="33" t="s">
        <v>624</v>
      </c>
      <c r="V1" s="41" t="s">
        <v>622</v>
      </c>
    </row>
    <row r="2" spans="1:22" x14ac:dyDescent="0.4">
      <c r="A2" s="1" t="str">
        <f>B2&amp;TEXT(ROW()-1,"000")</f>
        <v>A001</v>
      </c>
      <c r="B2" s="97" t="str">
        <f>VLOOKUP(C2,item!B:C,2,0)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L2" s="100" t="str">
        <f t="shared" ref="L2:M54" si="0">A2</f>
        <v>A001</v>
      </c>
      <c r="M2" s="100" t="str">
        <f t="shared" si="0"/>
        <v>A</v>
      </c>
      <c r="O2" s="52" t="s">
        <v>632</v>
      </c>
      <c r="P2" s="53" t="s">
        <v>633</v>
      </c>
      <c r="Q2" s="114" t="str">
        <f>VLOOKUP(P2,D:M,9,0)</f>
        <v>A001</v>
      </c>
      <c r="R2" s="99" t="str">
        <f>VLOOKUP(P2,D:M,10,0)</f>
        <v>A</v>
      </c>
      <c r="T2" s="55" t="s">
        <v>637</v>
      </c>
      <c r="U2" s="114" t="s">
        <v>638</v>
      </c>
      <c r="V2" s="114" t="s">
        <v>639</v>
      </c>
    </row>
    <row r="3" spans="1:22" x14ac:dyDescent="0.4">
      <c r="A3" s="1" t="str">
        <f t="shared" ref="A3:A54" si="1">B3&amp;TEXT(ROW()-1,"000")</f>
        <v>A002</v>
      </c>
      <c r="B3" s="97" t="str">
        <f>VLOOKUP(C3,item!B:C,2,0)</f>
        <v>A</v>
      </c>
      <c r="C3" s="43" t="s">
        <v>632</v>
      </c>
      <c r="D3" s="84" t="s">
        <v>640</v>
      </c>
      <c r="E3" s="57" t="s">
        <v>641</v>
      </c>
      <c r="F3" s="84">
        <v>65050</v>
      </c>
      <c r="G3" s="58" t="s">
        <v>642</v>
      </c>
      <c r="H3" s="84">
        <v>216</v>
      </c>
      <c r="I3" s="48">
        <v>35827</v>
      </c>
      <c r="J3" s="84"/>
      <c r="K3" s="50" t="s">
        <v>643</v>
      </c>
      <c r="L3" s="100" t="str">
        <f t="shared" si="0"/>
        <v>A002</v>
      </c>
      <c r="M3" s="100" t="str">
        <f t="shared" si="0"/>
        <v>A</v>
      </c>
    </row>
    <row r="4" spans="1:22" x14ac:dyDescent="0.4">
      <c r="A4" s="1" t="str">
        <f t="shared" si="1"/>
        <v>A003</v>
      </c>
      <c r="B4" s="97" t="str">
        <f>VLOOKUP(C4,item!B:C,2,0)</f>
        <v>A</v>
      </c>
      <c r="C4" s="43" t="s">
        <v>632</v>
      </c>
      <c r="D4" s="59" t="s">
        <v>644</v>
      </c>
      <c r="E4" s="85" t="s">
        <v>645</v>
      </c>
      <c r="F4" s="59">
        <v>65046</v>
      </c>
      <c r="G4" s="58" t="s">
        <v>646</v>
      </c>
      <c r="H4" s="84">
        <v>216</v>
      </c>
      <c r="I4" s="48">
        <v>35855</v>
      </c>
      <c r="J4" s="84"/>
      <c r="K4" s="50" t="s">
        <v>647</v>
      </c>
      <c r="L4" s="100" t="str">
        <f t="shared" si="0"/>
        <v>A003</v>
      </c>
      <c r="M4" s="100" t="str">
        <f t="shared" si="0"/>
        <v>A</v>
      </c>
    </row>
    <row r="5" spans="1:22" x14ac:dyDescent="0.4">
      <c r="A5" s="1" t="str">
        <f t="shared" si="1"/>
        <v>A004</v>
      </c>
      <c r="B5" s="97" t="str">
        <f>VLOOKUP(C5,item!B:C,2,0)</f>
        <v>A</v>
      </c>
      <c r="C5" s="43" t="s">
        <v>632</v>
      </c>
      <c r="D5" s="84" t="s">
        <v>648</v>
      </c>
      <c r="E5" s="85" t="s">
        <v>649</v>
      </c>
      <c r="F5" s="84">
        <v>65048</v>
      </c>
      <c r="G5" s="58" t="s">
        <v>650</v>
      </c>
      <c r="H5" s="84">
        <v>216</v>
      </c>
      <c r="I5" s="48">
        <v>35886</v>
      </c>
      <c r="J5" s="84"/>
      <c r="K5" s="50" t="s">
        <v>651</v>
      </c>
      <c r="L5" s="100" t="str">
        <f t="shared" si="0"/>
        <v>A004</v>
      </c>
      <c r="M5" s="100" t="str">
        <f t="shared" si="0"/>
        <v>A</v>
      </c>
    </row>
    <row r="6" spans="1:22" ht="16.75" x14ac:dyDescent="0.45">
      <c r="A6" s="1" t="str">
        <f t="shared" si="1"/>
        <v>A005</v>
      </c>
      <c r="B6" s="97" t="str">
        <f>VLOOKUP(C6,item!B:C,2,0)</f>
        <v>A</v>
      </c>
      <c r="C6" s="43" t="s">
        <v>632</v>
      </c>
      <c r="D6" s="61" t="s">
        <v>652</v>
      </c>
      <c r="E6" s="85" t="s">
        <v>653</v>
      </c>
      <c r="F6" s="77">
        <v>65049</v>
      </c>
      <c r="G6" s="63" t="s">
        <v>654</v>
      </c>
      <c r="H6" s="77">
        <v>216</v>
      </c>
      <c r="I6" s="48">
        <v>35916</v>
      </c>
      <c r="J6" s="77"/>
      <c r="K6" s="50" t="s">
        <v>655</v>
      </c>
      <c r="L6" s="100" t="str">
        <f t="shared" si="0"/>
        <v>A005</v>
      </c>
      <c r="M6" s="100" t="str">
        <f t="shared" si="0"/>
        <v>A</v>
      </c>
      <c r="T6" s="64" t="s">
        <v>656</v>
      </c>
      <c r="U6" s="114" t="s">
        <v>657</v>
      </c>
    </row>
    <row r="7" spans="1:22" x14ac:dyDescent="0.4">
      <c r="A7" s="1" t="str">
        <f t="shared" si="1"/>
        <v>B006</v>
      </c>
      <c r="B7" s="97" t="str">
        <f>VLOOKUP(C7,item!B:C,2,0)</f>
        <v>B</v>
      </c>
      <c r="C7" s="43" t="s">
        <v>658</v>
      </c>
      <c r="D7" s="84" t="s">
        <v>659</v>
      </c>
      <c r="E7" s="85" t="s">
        <v>660</v>
      </c>
      <c r="F7" s="77">
        <v>65005</v>
      </c>
      <c r="G7" s="86" t="s">
        <v>661</v>
      </c>
      <c r="H7" s="77">
        <v>209</v>
      </c>
      <c r="I7" s="48">
        <v>35947</v>
      </c>
      <c r="J7" s="77"/>
      <c r="K7" s="50" t="s">
        <v>662</v>
      </c>
      <c r="L7" s="100" t="str">
        <f t="shared" si="0"/>
        <v>B006</v>
      </c>
      <c r="M7" s="100" t="str">
        <f t="shared" si="0"/>
        <v>B</v>
      </c>
    </row>
    <row r="8" spans="1:22" x14ac:dyDescent="0.4">
      <c r="A8" s="1" t="str">
        <f t="shared" si="1"/>
        <v>B007</v>
      </c>
      <c r="B8" s="97" t="str">
        <f>VLOOKUP(C8,item!B:C,2,0)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L8" s="100" t="str">
        <f t="shared" si="0"/>
        <v>B007</v>
      </c>
      <c r="M8" s="100" t="str">
        <f t="shared" si="0"/>
        <v>B</v>
      </c>
    </row>
    <row r="9" spans="1:22" x14ac:dyDescent="0.4">
      <c r="A9" s="1" t="str">
        <f t="shared" si="1"/>
        <v>B008</v>
      </c>
      <c r="B9" s="97" t="str">
        <f>VLOOKUP(C9,item!B:C,2,0)</f>
        <v>B</v>
      </c>
      <c r="C9" s="43" t="s">
        <v>658</v>
      </c>
      <c r="D9" s="84" t="s">
        <v>667</v>
      </c>
      <c r="E9" s="85" t="s">
        <v>641</v>
      </c>
      <c r="F9" s="84">
        <v>65031</v>
      </c>
      <c r="G9" s="58" t="s">
        <v>668</v>
      </c>
      <c r="H9" s="84">
        <v>318</v>
      </c>
      <c r="I9" s="48">
        <v>36008</v>
      </c>
      <c r="J9" s="84"/>
      <c r="K9" s="50" t="s">
        <v>669</v>
      </c>
      <c r="L9" s="100" t="str">
        <f t="shared" si="0"/>
        <v>B008</v>
      </c>
      <c r="M9" s="100" t="str">
        <f t="shared" si="0"/>
        <v>B</v>
      </c>
    </row>
    <row r="10" spans="1:22" x14ac:dyDescent="0.4">
      <c r="A10" s="1" t="str">
        <f t="shared" si="1"/>
        <v>B009</v>
      </c>
      <c r="B10" s="97" t="str">
        <f>VLOOKUP(C10,item!B:C,2,0)</f>
        <v>B</v>
      </c>
      <c r="C10" s="43" t="s">
        <v>658</v>
      </c>
      <c r="D10" s="84" t="s">
        <v>670</v>
      </c>
      <c r="E10" s="85" t="s">
        <v>641</v>
      </c>
      <c r="F10" s="84">
        <v>55448</v>
      </c>
      <c r="G10" s="58" t="s">
        <v>671</v>
      </c>
      <c r="H10" s="84">
        <v>318</v>
      </c>
      <c r="I10" s="48">
        <v>36039</v>
      </c>
      <c r="J10" s="68"/>
      <c r="K10" s="50" t="s">
        <v>672</v>
      </c>
      <c r="L10" s="100" t="str">
        <f t="shared" si="0"/>
        <v>B009</v>
      </c>
      <c r="M10" s="100" t="str">
        <f t="shared" si="0"/>
        <v>B</v>
      </c>
    </row>
    <row r="11" spans="1:22" ht="14.25" customHeight="1" x14ac:dyDescent="0.4">
      <c r="A11" s="1" t="str">
        <f t="shared" si="1"/>
        <v>C010</v>
      </c>
      <c r="B11" s="97" t="str">
        <f>VLOOKUP(C11,item!B:C,2,0)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L11" s="100" t="str">
        <f t="shared" si="0"/>
        <v>C010</v>
      </c>
      <c r="M11" s="100" t="str">
        <f t="shared" si="0"/>
        <v>C</v>
      </c>
    </row>
    <row r="12" spans="1:22" x14ac:dyDescent="0.4">
      <c r="A12" s="1" t="str">
        <f t="shared" si="1"/>
        <v>C011</v>
      </c>
      <c r="B12" s="97" t="str">
        <f>VLOOKUP(C12,item!B:C,2,0)</f>
        <v>C</v>
      </c>
      <c r="C12" s="43" t="s">
        <v>673</v>
      </c>
      <c r="D12" s="84" t="s">
        <v>677</v>
      </c>
      <c r="E12" s="70" t="s">
        <v>839</v>
      </c>
      <c r="F12" s="84">
        <v>65026</v>
      </c>
      <c r="G12" s="58" t="s">
        <v>678</v>
      </c>
      <c r="H12" s="84">
        <v>403</v>
      </c>
      <c r="I12" s="48">
        <v>36100</v>
      </c>
      <c r="J12" s="84"/>
      <c r="K12" s="50" t="s">
        <v>679</v>
      </c>
      <c r="L12" s="100" t="str">
        <f t="shared" si="0"/>
        <v>C011</v>
      </c>
      <c r="M12" s="100" t="str">
        <f t="shared" si="0"/>
        <v>C</v>
      </c>
    </row>
    <row r="13" spans="1:22" x14ac:dyDescent="0.4">
      <c r="A13" s="1" t="str">
        <f t="shared" si="1"/>
        <v>C012</v>
      </c>
      <c r="B13" s="97" t="str">
        <f>VLOOKUP(C13,item!B:C,2,0)</f>
        <v>C</v>
      </c>
      <c r="C13" s="43" t="s">
        <v>673</v>
      </c>
      <c r="D13" s="84" t="s">
        <v>680</v>
      </c>
      <c r="E13" s="70" t="s">
        <v>839</v>
      </c>
      <c r="F13" s="84">
        <v>65034</v>
      </c>
      <c r="G13" s="58" t="s">
        <v>681</v>
      </c>
      <c r="H13" s="84">
        <v>301</v>
      </c>
      <c r="I13" s="48">
        <v>36130</v>
      </c>
      <c r="J13" s="84"/>
      <c r="K13" s="50" t="s">
        <v>682</v>
      </c>
      <c r="L13" s="100" t="str">
        <f t="shared" si="0"/>
        <v>C012</v>
      </c>
      <c r="M13" s="100" t="str">
        <f t="shared" si="0"/>
        <v>C</v>
      </c>
    </row>
    <row r="14" spans="1:22" x14ac:dyDescent="0.4">
      <c r="A14" s="1" t="str">
        <f t="shared" si="1"/>
        <v>C013</v>
      </c>
      <c r="B14" s="97" t="str">
        <f>VLOOKUP(C14,item!B:C,2,0)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84">
        <v>109</v>
      </c>
      <c r="I14" s="48">
        <v>36161</v>
      </c>
      <c r="J14" s="72"/>
      <c r="K14" s="50" t="s">
        <v>685</v>
      </c>
      <c r="L14" s="100" t="str">
        <f t="shared" si="0"/>
        <v>C013</v>
      </c>
      <c r="M14" s="100" t="str">
        <f t="shared" si="0"/>
        <v>C</v>
      </c>
    </row>
    <row r="15" spans="1:22" ht="16.75" x14ac:dyDescent="0.45">
      <c r="A15" s="1" t="str">
        <f t="shared" si="1"/>
        <v>C014</v>
      </c>
      <c r="B15" s="97" t="str">
        <f>VLOOKUP(C15,item!B:C,2,0)</f>
        <v>C</v>
      </c>
      <c r="C15" s="43" t="s">
        <v>673</v>
      </c>
      <c r="D15" s="84" t="s">
        <v>686</v>
      </c>
      <c r="E15" s="85" t="s">
        <v>641</v>
      </c>
      <c r="F15" s="84">
        <v>65016</v>
      </c>
      <c r="G15" s="73" t="s">
        <v>687</v>
      </c>
      <c r="H15" s="84">
        <v>109</v>
      </c>
      <c r="I15" s="48">
        <v>36192</v>
      </c>
      <c r="J15" s="84"/>
      <c r="K15" s="50" t="s">
        <v>688</v>
      </c>
      <c r="L15" s="100" t="str">
        <f t="shared" si="0"/>
        <v>C014</v>
      </c>
      <c r="M15" s="100" t="str">
        <f t="shared" si="0"/>
        <v>C</v>
      </c>
    </row>
    <row r="16" spans="1:22" x14ac:dyDescent="0.4">
      <c r="A16" s="1" t="str">
        <f t="shared" si="1"/>
        <v>C015</v>
      </c>
      <c r="B16" s="97" t="str">
        <f>VLOOKUP(C16,item!B:C,2,0)</f>
        <v>C</v>
      </c>
      <c r="C16" s="43" t="s">
        <v>673</v>
      </c>
      <c r="D16" s="59" t="s">
        <v>689</v>
      </c>
      <c r="E16" s="85" t="s">
        <v>641</v>
      </c>
      <c r="F16" s="80">
        <v>65519</v>
      </c>
      <c r="G16" s="58" t="s">
        <v>690</v>
      </c>
      <c r="H16" s="84">
        <v>315</v>
      </c>
      <c r="I16" s="48">
        <v>36220</v>
      </c>
      <c r="J16" s="84"/>
      <c r="K16" s="50" t="s">
        <v>691</v>
      </c>
      <c r="L16" s="100" t="str">
        <f t="shared" si="0"/>
        <v>C015</v>
      </c>
      <c r="M16" s="100" t="str">
        <f t="shared" si="0"/>
        <v>C</v>
      </c>
    </row>
    <row r="17" spans="1:13" x14ac:dyDescent="0.4">
      <c r="A17" s="1" t="str">
        <f t="shared" si="1"/>
        <v>C016</v>
      </c>
      <c r="B17" s="97" t="str">
        <f>VLOOKUP(C17,item!B:C,2,0)</f>
        <v>C</v>
      </c>
      <c r="C17" s="43" t="s">
        <v>673</v>
      </c>
      <c r="D17" s="84" t="s">
        <v>692</v>
      </c>
      <c r="E17" s="85" t="s">
        <v>641</v>
      </c>
      <c r="F17" s="80">
        <v>69869</v>
      </c>
      <c r="G17" s="58" t="s">
        <v>693</v>
      </c>
      <c r="H17" s="84">
        <v>316</v>
      </c>
      <c r="I17" s="48">
        <v>36251</v>
      </c>
      <c r="J17" s="84"/>
      <c r="K17" s="50" t="s">
        <v>694</v>
      </c>
      <c r="L17" s="100" t="str">
        <f t="shared" si="0"/>
        <v>C016</v>
      </c>
      <c r="M17" s="100" t="str">
        <f t="shared" si="0"/>
        <v>C</v>
      </c>
    </row>
    <row r="18" spans="1:13" x14ac:dyDescent="0.4">
      <c r="A18" s="1" t="str">
        <f t="shared" si="1"/>
        <v>C017</v>
      </c>
      <c r="B18" s="97" t="str">
        <f>VLOOKUP(C18,item!B:C,2,0)</f>
        <v>C</v>
      </c>
      <c r="C18" s="43" t="s">
        <v>673</v>
      </c>
      <c r="D18" s="71" t="s">
        <v>695</v>
      </c>
      <c r="E18" s="75" t="s">
        <v>641</v>
      </c>
      <c r="F18" s="80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L18" s="100" t="str">
        <f t="shared" si="0"/>
        <v>C017</v>
      </c>
      <c r="M18" s="100" t="str">
        <f t="shared" si="0"/>
        <v>C</v>
      </c>
    </row>
    <row r="19" spans="1:13" x14ac:dyDescent="0.4">
      <c r="A19" s="1" t="str">
        <f t="shared" si="1"/>
        <v>C018</v>
      </c>
      <c r="B19" s="97" t="str">
        <f>VLOOKUP(C19,item!B:C,2,0)</f>
        <v>C</v>
      </c>
      <c r="C19" s="43" t="s">
        <v>673</v>
      </c>
      <c r="D19" s="84" t="s">
        <v>698</v>
      </c>
      <c r="E19" s="85" t="s">
        <v>641</v>
      </c>
      <c r="F19" s="77">
        <v>65512</v>
      </c>
      <c r="G19" s="78" t="s">
        <v>699</v>
      </c>
      <c r="H19" s="84">
        <v>316</v>
      </c>
      <c r="I19" s="48">
        <v>36312</v>
      </c>
      <c r="J19" s="84"/>
      <c r="K19" s="50" t="s">
        <v>700</v>
      </c>
      <c r="L19" s="100" t="str">
        <f t="shared" si="0"/>
        <v>C018</v>
      </c>
      <c r="M19" s="100" t="str">
        <f t="shared" si="0"/>
        <v>C</v>
      </c>
    </row>
    <row r="20" spans="1:13" x14ac:dyDescent="0.4">
      <c r="A20" s="1" t="str">
        <f t="shared" si="1"/>
        <v>C019</v>
      </c>
      <c r="B20" s="97" t="str">
        <f>VLOOKUP(C20,item!B:C,2,0)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L20" s="100" t="str">
        <f t="shared" si="0"/>
        <v>C019</v>
      </c>
      <c r="M20" s="100" t="str">
        <f t="shared" si="0"/>
        <v>C</v>
      </c>
    </row>
    <row r="21" spans="1:13" x14ac:dyDescent="0.4">
      <c r="A21" s="1" t="str">
        <f t="shared" si="1"/>
        <v>C020</v>
      </c>
      <c r="B21" s="97" t="str">
        <f>VLOOKUP(C21,item!B:C,2,0)</f>
        <v>C</v>
      </c>
      <c r="C21" s="43" t="s">
        <v>673</v>
      </c>
      <c r="D21" s="84" t="s">
        <v>704</v>
      </c>
      <c r="E21" s="85" t="s">
        <v>653</v>
      </c>
      <c r="F21" s="84">
        <v>65022</v>
      </c>
      <c r="G21" s="58" t="s">
        <v>705</v>
      </c>
      <c r="H21" s="84">
        <v>109</v>
      </c>
      <c r="I21" s="48">
        <v>36373</v>
      </c>
      <c r="J21" s="84"/>
      <c r="K21" s="50" t="s">
        <v>706</v>
      </c>
      <c r="L21" s="100" t="str">
        <f t="shared" si="0"/>
        <v>C020</v>
      </c>
      <c r="M21" s="100" t="str">
        <f t="shared" si="0"/>
        <v>C</v>
      </c>
    </row>
    <row r="22" spans="1:13" x14ac:dyDescent="0.4">
      <c r="A22" s="1" t="str">
        <f t="shared" si="1"/>
        <v>D021</v>
      </c>
      <c r="B22" s="97" t="str">
        <f>VLOOKUP(C22,item!B:C,2,0)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L22" s="100" t="str">
        <f t="shared" si="0"/>
        <v>D021</v>
      </c>
      <c r="M22" s="100" t="str">
        <f t="shared" si="0"/>
        <v>D</v>
      </c>
    </row>
    <row r="23" spans="1:13" x14ac:dyDescent="0.4">
      <c r="A23" s="1" t="str">
        <f t="shared" si="1"/>
        <v>D022</v>
      </c>
      <c r="B23" s="97" t="str">
        <f>VLOOKUP(C23,item!B:C,2,0)</f>
        <v>D</v>
      </c>
      <c r="C23" s="43" t="s">
        <v>707</v>
      </c>
      <c r="D23" s="84" t="s">
        <v>711</v>
      </c>
      <c r="E23" s="85" t="s">
        <v>712</v>
      </c>
      <c r="F23" s="84">
        <v>65006</v>
      </c>
      <c r="G23" s="58" t="s">
        <v>713</v>
      </c>
      <c r="H23" s="84">
        <v>411</v>
      </c>
      <c r="I23" s="48">
        <v>36434</v>
      </c>
      <c r="J23" s="84"/>
      <c r="K23" s="50" t="s">
        <v>714</v>
      </c>
      <c r="L23" s="100" t="str">
        <f t="shared" si="0"/>
        <v>D022</v>
      </c>
      <c r="M23" s="100" t="str">
        <f t="shared" si="0"/>
        <v>D</v>
      </c>
    </row>
    <row r="24" spans="1:13" x14ac:dyDescent="0.4">
      <c r="A24" s="1" t="str">
        <f t="shared" si="1"/>
        <v>D023</v>
      </c>
      <c r="B24" s="97" t="str">
        <f>VLOOKUP(C24,item!B:C,2,0)</f>
        <v>D</v>
      </c>
      <c r="C24" s="43" t="s">
        <v>707</v>
      </c>
      <c r="D24" s="84" t="s">
        <v>715</v>
      </c>
      <c r="E24" s="85" t="s">
        <v>712</v>
      </c>
      <c r="F24" s="84">
        <v>65010</v>
      </c>
      <c r="G24" s="58" t="s">
        <v>716</v>
      </c>
      <c r="H24" s="84">
        <v>411</v>
      </c>
      <c r="I24" s="48">
        <v>36465</v>
      </c>
      <c r="J24" s="84"/>
      <c r="K24" s="50" t="s">
        <v>717</v>
      </c>
      <c r="L24" s="100" t="str">
        <f t="shared" si="0"/>
        <v>D023</v>
      </c>
      <c r="M24" s="100" t="str">
        <f t="shared" si="0"/>
        <v>D</v>
      </c>
    </row>
    <row r="25" spans="1:13" ht="16.75" x14ac:dyDescent="0.45">
      <c r="A25" s="1" t="str">
        <f t="shared" si="1"/>
        <v>D024</v>
      </c>
      <c r="B25" s="97" t="str">
        <f>VLOOKUP(C25,item!B:C,2,0)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84"/>
      <c r="K25" s="50" t="s">
        <v>721</v>
      </c>
      <c r="L25" s="100" t="str">
        <f t="shared" si="0"/>
        <v>D024</v>
      </c>
      <c r="M25" s="100" t="str">
        <f t="shared" si="0"/>
        <v>D</v>
      </c>
    </row>
    <row r="26" spans="1:13" x14ac:dyDescent="0.4">
      <c r="A26" s="1" t="str">
        <f t="shared" si="1"/>
        <v>D025</v>
      </c>
      <c r="B26" s="97" t="str">
        <f>VLOOKUP(C26,item!B:C,2,0)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98"/>
      <c r="K26" s="50" t="s">
        <v>724</v>
      </c>
      <c r="L26" s="100" t="str">
        <f t="shared" si="0"/>
        <v>D025</v>
      </c>
      <c r="M26" s="100" t="str">
        <f t="shared" si="0"/>
        <v>D</v>
      </c>
    </row>
    <row r="27" spans="1:13" ht="16.75" x14ac:dyDescent="0.45">
      <c r="A27" s="1" t="str">
        <f t="shared" si="1"/>
        <v>D026</v>
      </c>
      <c r="B27" s="97" t="str">
        <f>VLOOKUP(C27,item!B:C,2,0)</f>
        <v>D</v>
      </c>
      <c r="C27" s="43" t="s">
        <v>707</v>
      </c>
      <c r="D27" s="88" t="s">
        <v>725</v>
      </c>
      <c r="E27" s="89" t="s">
        <v>641</v>
      </c>
      <c r="F27" s="84">
        <v>65012</v>
      </c>
      <c r="G27" s="90" t="s">
        <v>726</v>
      </c>
      <c r="H27" s="84">
        <v>411</v>
      </c>
      <c r="I27" s="48">
        <v>36557</v>
      </c>
      <c r="J27" s="84"/>
      <c r="K27" s="50" t="s">
        <v>727</v>
      </c>
      <c r="L27" s="100" t="str">
        <f t="shared" si="0"/>
        <v>D026</v>
      </c>
      <c r="M27" s="100" t="str">
        <f t="shared" si="0"/>
        <v>D</v>
      </c>
    </row>
    <row r="28" spans="1:13" ht="16.75" x14ac:dyDescent="0.45">
      <c r="A28" s="1" t="str">
        <f t="shared" si="1"/>
        <v>D027</v>
      </c>
      <c r="B28" s="97" t="str">
        <f>VLOOKUP(C28,item!B:C,2,0)</f>
        <v>D</v>
      </c>
      <c r="C28" s="43" t="s">
        <v>707</v>
      </c>
      <c r="D28" s="84" t="s">
        <v>728</v>
      </c>
      <c r="E28" s="85" t="s">
        <v>729</v>
      </c>
      <c r="F28" s="84">
        <v>65009</v>
      </c>
      <c r="G28" s="90" t="s">
        <v>730</v>
      </c>
      <c r="H28" s="84">
        <v>411</v>
      </c>
      <c r="I28" s="48">
        <v>36586</v>
      </c>
      <c r="J28" s="84"/>
      <c r="K28" s="50" t="s">
        <v>731</v>
      </c>
      <c r="L28" s="100" t="str">
        <f t="shared" si="0"/>
        <v>D027</v>
      </c>
      <c r="M28" s="100" t="str">
        <f t="shared" si="0"/>
        <v>D</v>
      </c>
    </row>
    <row r="29" spans="1:13" ht="16.75" x14ac:dyDescent="0.45">
      <c r="A29" s="1" t="str">
        <f t="shared" si="1"/>
        <v>D028</v>
      </c>
      <c r="B29" s="97" t="str">
        <f>VLOOKUP(C29,item!B:C,2,0)</f>
        <v>D</v>
      </c>
      <c r="C29" s="43" t="s">
        <v>707</v>
      </c>
      <c r="D29" s="84" t="s">
        <v>732</v>
      </c>
      <c r="E29" s="85" t="s">
        <v>729</v>
      </c>
      <c r="F29" s="84">
        <v>65513</v>
      </c>
      <c r="G29" s="90" t="s">
        <v>733</v>
      </c>
      <c r="H29" s="84">
        <v>411</v>
      </c>
      <c r="I29" s="48">
        <v>36617</v>
      </c>
      <c r="J29" s="84"/>
      <c r="K29" s="50" t="s">
        <v>734</v>
      </c>
      <c r="L29" s="100" t="str">
        <f t="shared" si="0"/>
        <v>D028</v>
      </c>
      <c r="M29" s="100" t="str">
        <f t="shared" si="0"/>
        <v>D</v>
      </c>
    </row>
    <row r="30" spans="1:13" ht="30" x14ac:dyDescent="0.4">
      <c r="A30" s="1" t="str">
        <f t="shared" si="1"/>
        <v>D029</v>
      </c>
      <c r="B30" s="97" t="str">
        <f>VLOOKUP(C30,item!B:C,2,0)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L30" s="100" t="str">
        <f t="shared" si="0"/>
        <v>D029</v>
      </c>
      <c r="M30" s="100" t="str">
        <f t="shared" si="0"/>
        <v>D</v>
      </c>
    </row>
    <row r="31" spans="1:13" ht="45" x14ac:dyDescent="0.4">
      <c r="A31" s="1" t="str">
        <f t="shared" si="1"/>
        <v>D030</v>
      </c>
      <c r="B31" s="97" t="str">
        <f>VLOOKUP(C31,item!B:C,2,0)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L31" s="100" t="str">
        <f t="shared" si="0"/>
        <v>D030</v>
      </c>
      <c r="M31" s="100" t="str">
        <f t="shared" si="0"/>
        <v>D</v>
      </c>
    </row>
    <row r="32" spans="1:13" ht="45" x14ac:dyDescent="0.4">
      <c r="A32" s="1" t="str">
        <f t="shared" si="1"/>
        <v>D031</v>
      </c>
      <c r="B32" s="97" t="str">
        <f>VLOOKUP(C32,item!B:C,2,0)</f>
        <v>D</v>
      </c>
      <c r="C32" s="43" t="s">
        <v>707</v>
      </c>
      <c r="D32" s="84" t="s">
        <v>745</v>
      </c>
      <c r="E32" s="91" t="s">
        <v>740</v>
      </c>
      <c r="F32" s="84" t="s">
        <v>741</v>
      </c>
      <c r="G32" s="58" t="s">
        <v>746</v>
      </c>
      <c r="H32" s="84" t="s">
        <v>743</v>
      </c>
      <c r="I32" s="48">
        <v>36708</v>
      </c>
      <c r="J32" s="59"/>
      <c r="K32" s="50" t="s">
        <v>747</v>
      </c>
      <c r="L32" s="100" t="str">
        <f t="shared" si="0"/>
        <v>D031</v>
      </c>
      <c r="M32" s="100" t="str">
        <f t="shared" si="0"/>
        <v>D</v>
      </c>
    </row>
    <row r="33" spans="1:13" ht="45" x14ac:dyDescent="0.4">
      <c r="A33" s="1" t="str">
        <f t="shared" si="1"/>
        <v>D032</v>
      </c>
      <c r="B33" s="97" t="str">
        <f>VLOOKUP(C33,item!B:C,2,0)</f>
        <v>D</v>
      </c>
      <c r="C33" s="43" t="s">
        <v>707</v>
      </c>
      <c r="D33" s="84" t="s">
        <v>748</v>
      </c>
      <c r="E33" s="85" t="s">
        <v>740</v>
      </c>
      <c r="F33" s="84" t="s">
        <v>741</v>
      </c>
      <c r="G33" s="58" t="s">
        <v>749</v>
      </c>
      <c r="H33" s="84" t="s">
        <v>743</v>
      </c>
      <c r="I33" s="48">
        <v>36739</v>
      </c>
      <c r="J33" s="84"/>
      <c r="K33" s="50" t="s">
        <v>750</v>
      </c>
      <c r="L33" s="100" t="str">
        <f t="shared" si="0"/>
        <v>D032</v>
      </c>
      <c r="M33" s="100" t="str">
        <f t="shared" si="0"/>
        <v>D</v>
      </c>
    </row>
    <row r="34" spans="1:13" x14ac:dyDescent="0.4">
      <c r="A34" s="1" t="str">
        <f t="shared" si="1"/>
        <v>E033</v>
      </c>
      <c r="B34" s="97" t="str">
        <f>VLOOKUP(C34,item!B:C,2,0)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L34" s="100" t="str">
        <f t="shared" si="0"/>
        <v>E033</v>
      </c>
      <c r="M34" s="100" t="str">
        <f t="shared" si="0"/>
        <v>E</v>
      </c>
    </row>
    <row r="35" spans="1:13" x14ac:dyDescent="0.4">
      <c r="A35" s="1" t="str">
        <f t="shared" si="1"/>
        <v>E034</v>
      </c>
      <c r="B35" s="97" t="str">
        <f>VLOOKUP(C35,item!B:C,2,0)</f>
        <v>E</v>
      </c>
      <c r="C35" s="43" t="s">
        <v>751</v>
      </c>
      <c r="D35" s="84" t="s">
        <v>755</v>
      </c>
      <c r="E35" s="70" t="s">
        <v>839</v>
      </c>
      <c r="F35" s="84">
        <v>65035</v>
      </c>
      <c r="G35" s="58" t="s">
        <v>756</v>
      </c>
      <c r="H35" s="84">
        <v>201</v>
      </c>
      <c r="I35" s="48">
        <v>36800</v>
      </c>
      <c r="J35" s="84"/>
      <c r="K35" s="50" t="s">
        <v>757</v>
      </c>
      <c r="L35" s="100" t="str">
        <f t="shared" si="0"/>
        <v>E034</v>
      </c>
      <c r="M35" s="100" t="str">
        <f t="shared" si="0"/>
        <v>E</v>
      </c>
    </row>
    <row r="36" spans="1:13" x14ac:dyDescent="0.4">
      <c r="A36" s="1" t="str">
        <f t="shared" si="1"/>
        <v>E035</v>
      </c>
      <c r="B36" s="97" t="str">
        <f>VLOOKUP(C36,item!B:C,2,0)</f>
        <v>E</v>
      </c>
      <c r="C36" s="43" t="s">
        <v>751</v>
      </c>
      <c r="D36" s="84" t="s">
        <v>758</v>
      </c>
      <c r="E36" s="85" t="s">
        <v>641</v>
      </c>
      <c r="F36" s="77">
        <v>65042</v>
      </c>
      <c r="G36" s="86" t="s">
        <v>759</v>
      </c>
      <c r="H36" s="77">
        <v>200</v>
      </c>
      <c r="I36" s="48">
        <v>36831</v>
      </c>
      <c r="J36" s="77"/>
      <c r="K36" s="50" t="s">
        <v>760</v>
      </c>
      <c r="L36" s="100" t="str">
        <f t="shared" si="0"/>
        <v>E035</v>
      </c>
      <c r="M36" s="100" t="str">
        <f t="shared" si="0"/>
        <v>E</v>
      </c>
    </row>
    <row r="37" spans="1:13" x14ac:dyDescent="0.4">
      <c r="A37" s="1" t="str">
        <f t="shared" si="1"/>
        <v>E036</v>
      </c>
      <c r="B37" s="97" t="str">
        <f>VLOOKUP(C37,item!B:C,2,0)</f>
        <v>E</v>
      </c>
      <c r="C37" s="43" t="s">
        <v>751</v>
      </c>
      <c r="D37" s="84" t="s">
        <v>761</v>
      </c>
      <c r="E37" s="85" t="s">
        <v>641</v>
      </c>
      <c r="F37" s="84">
        <v>65041</v>
      </c>
      <c r="G37" s="58" t="s">
        <v>762</v>
      </c>
      <c r="H37" s="84">
        <v>200</v>
      </c>
      <c r="I37" s="48">
        <v>36861</v>
      </c>
      <c r="J37" s="84"/>
      <c r="K37" s="50" t="s">
        <v>763</v>
      </c>
      <c r="L37" s="100" t="str">
        <f t="shared" si="0"/>
        <v>E036</v>
      </c>
      <c r="M37" s="100" t="str">
        <f t="shared" si="0"/>
        <v>E</v>
      </c>
    </row>
    <row r="38" spans="1:13" x14ac:dyDescent="0.4">
      <c r="A38" s="1" t="str">
        <f t="shared" si="1"/>
        <v>E037</v>
      </c>
      <c r="B38" s="97" t="str">
        <f>VLOOKUP(C38,item!B:C,2,0)</f>
        <v>E</v>
      </c>
      <c r="C38" s="43" t="s">
        <v>751</v>
      </c>
      <c r="D38" s="84"/>
      <c r="E38" s="85"/>
      <c r="F38" s="84">
        <v>65040</v>
      </c>
      <c r="G38" s="58"/>
      <c r="H38" s="84">
        <v>200</v>
      </c>
      <c r="I38" s="48">
        <v>36892</v>
      </c>
      <c r="J38" s="84"/>
      <c r="K38" s="50" t="s">
        <v>764</v>
      </c>
      <c r="L38" s="100" t="str">
        <f t="shared" si="0"/>
        <v>E037</v>
      </c>
      <c r="M38" s="100" t="str">
        <f t="shared" si="0"/>
        <v>E</v>
      </c>
    </row>
    <row r="39" spans="1:13" x14ac:dyDescent="0.4">
      <c r="A39" s="1" t="str">
        <f t="shared" si="1"/>
        <v>E038</v>
      </c>
      <c r="B39" s="97" t="str">
        <f>VLOOKUP(C39,item!B:C,2,0)</f>
        <v>E</v>
      </c>
      <c r="C39" s="43" t="s">
        <v>751</v>
      </c>
      <c r="D39" s="84" t="s">
        <v>765</v>
      </c>
      <c r="E39" s="85" t="s">
        <v>766</v>
      </c>
      <c r="F39" s="84">
        <v>65039</v>
      </c>
      <c r="G39" s="58" t="s">
        <v>767</v>
      </c>
      <c r="H39" s="84">
        <v>207</v>
      </c>
      <c r="I39" s="48">
        <v>36923</v>
      </c>
      <c r="J39" s="84"/>
      <c r="K39" s="50" t="s">
        <v>768</v>
      </c>
      <c r="L39" s="100" t="str">
        <f t="shared" si="0"/>
        <v>E038</v>
      </c>
      <c r="M39" s="100" t="str">
        <f t="shared" si="0"/>
        <v>E</v>
      </c>
    </row>
    <row r="40" spans="1:13" x14ac:dyDescent="0.4">
      <c r="A40" s="1" t="str">
        <f t="shared" si="1"/>
        <v>E039</v>
      </c>
      <c r="B40" s="97" t="str">
        <f>VLOOKUP(C40,item!B:C,2,0)</f>
        <v>E</v>
      </c>
      <c r="C40" s="43" t="s">
        <v>751</v>
      </c>
      <c r="D40" s="71"/>
      <c r="E40" s="85"/>
      <c r="F40" s="84">
        <v>65037</v>
      </c>
      <c r="G40" s="58"/>
      <c r="H40" s="84">
        <v>207</v>
      </c>
      <c r="I40" s="48">
        <v>36951</v>
      </c>
      <c r="J40" s="72"/>
      <c r="K40" s="50" t="s">
        <v>769</v>
      </c>
      <c r="L40" s="100" t="str">
        <f t="shared" si="0"/>
        <v>E039</v>
      </c>
      <c r="M40" s="100" t="str">
        <f t="shared" si="0"/>
        <v>E</v>
      </c>
    </row>
    <row r="41" spans="1:13" x14ac:dyDescent="0.4">
      <c r="A41" s="1" t="str">
        <f t="shared" si="1"/>
        <v>E040</v>
      </c>
      <c r="B41" s="97" t="str">
        <f>VLOOKUP(C41,item!B:C,2,0)</f>
        <v>E</v>
      </c>
      <c r="C41" s="43" t="s">
        <v>751</v>
      </c>
      <c r="D41" s="84" t="s">
        <v>770</v>
      </c>
      <c r="E41" s="85" t="s">
        <v>641</v>
      </c>
      <c r="F41" s="84">
        <v>65517</v>
      </c>
      <c r="G41" s="58" t="s">
        <v>771</v>
      </c>
      <c r="H41" s="84">
        <v>311</v>
      </c>
      <c r="I41" s="48">
        <v>36982</v>
      </c>
      <c r="J41" s="84"/>
      <c r="K41" s="50" t="s">
        <v>772</v>
      </c>
      <c r="L41" s="100" t="str">
        <f t="shared" si="0"/>
        <v>E040</v>
      </c>
      <c r="M41" s="100" t="str">
        <f t="shared" si="0"/>
        <v>E</v>
      </c>
    </row>
    <row r="42" spans="1:13" x14ac:dyDescent="0.4">
      <c r="A42" s="1" t="str">
        <f t="shared" si="1"/>
        <v>E041</v>
      </c>
      <c r="B42" s="97" t="str">
        <f>VLOOKUP(C42,item!B:C,2,0)</f>
        <v>E</v>
      </c>
      <c r="C42" s="43" t="s">
        <v>751</v>
      </c>
      <c r="D42" s="84" t="s">
        <v>773</v>
      </c>
      <c r="E42" s="85" t="s">
        <v>649</v>
      </c>
      <c r="F42" s="84">
        <v>65514</v>
      </c>
      <c r="G42" s="58" t="s">
        <v>774</v>
      </c>
      <c r="H42" s="84">
        <v>311</v>
      </c>
      <c r="I42" s="48">
        <v>37012</v>
      </c>
      <c r="J42" s="84"/>
      <c r="K42" s="50" t="s">
        <v>775</v>
      </c>
      <c r="L42" s="100" t="str">
        <f t="shared" si="0"/>
        <v>E041</v>
      </c>
      <c r="M42" s="100" t="str">
        <f t="shared" si="0"/>
        <v>E</v>
      </c>
    </row>
    <row r="43" spans="1:13" x14ac:dyDescent="0.4">
      <c r="A43" s="1" t="str">
        <f t="shared" si="1"/>
        <v>E042</v>
      </c>
      <c r="B43" s="97" t="str">
        <f>VLOOKUP(C43,item!B:C,2,0)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L43" s="100" t="str">
        <f t="shared" si="0"/>
        <v>E042</v>
      </c>
      <c r="M43" s="100" t="str">
        <f t="shared" si="0"/>
        <v>E</v>
      </c>
    </row>
    <row r="44" spans="1:13" x14ac:dyDescent="0.4">
      <c r="A44" s="1" t="str">
        <f t="shared" si="1"/>
        <v>E043</v>
      </c>
      <c r="B44" s="97" t="str">
        <f>VLOOKUP(C44,item!B:C,2,0)</f>
        <v>E</v>
      </c>
      <c r="C44" s="43" t="s">
        <v>751</v>
      </c>
      <c r="D44" s="71" t="s">
        <v>779</v>
      </c>
      <c r="E44" s="85" t="s">
        <v>641</v>
      </c>
      <c r="F44" s="84">
        <v>65520</v>
      </c>
      <c r="G44" s="58" t="s">
        <v>780</v>
      </c>
      <c r="H44" s="84">
        <v>311</v>
      </c>
      <c r="I44" s="48">
        <v>37073</v>
      </c>
      <c r="J44" s="72"/>
      <c r="K44" s="50" t="s">
        <v>781</v>
      </c>
      <c r="L44" s="100" t="str">
        <f t="shared" si="0"/>
        <v>E043</v>
      </c>
      <c r="M44" s="100" t="str">
        <f t="shared" si="0"/>
        <v>E</v>
      </c>
    </row>
    <row r="45" spans="1:13" x14ac:dyDescent="0.4">
      <c r="A45" s="1" t="str">
        <f t="shared" si="1"/>
        <v>E044</v>
      </c>
      <c r="B45" s="97" t="str">
        <f>VLOOKUP(C45,item!B:C,2,0)</f>
        <v>E</v>
      </c>
      <c r="C45" s="95" t="s">
        <v>751</v>
      </c>
      <c r="D45" s="84" t="s">
        <v>782</v>
      </c>
      <c r="E45" s="85" t="s">
        <v>641</v>
      </c>
      <c r="F45" s="84">
        <v>65524</v>
      </c>
      <c r="G45" s="58" t="s">
        <v>783</v>
      </c>
      <c r="H45" s="84">
        <v>311</v>
      </c>
      <c r="I45" s="48">
        <v>37104</v>
      </c>
      <c r="J45" s="84"/>
      <c r="K45" s="50" t="s">
        <v>784</v>
      </c>
      <c r="L45" s="100" t="str">
        <f t="shared" si="0"/>
        <v>E044</v>
      </c>
      <c r="M45" s="100" t="str">
        <f t="shared" si="0"/>
        <v>E</v>
      </c>
    </row>
    <row r="46" spans="1:13" x14ac:dyDescent="0.4">
      <c r="A46" s="1" t="str">
        <f t="shared" si="1"/>
        <v>E045</v>
      </c>
      <c r="B46" s="97" t="str">
        <f>VLOOKUP(C46,item!B:C,2,0)</f>
        <v>E</v>
      </c>
      <c r="C46" s="95" t="s">
        <v>751</v>
      </c>
      <c r="D46" s="84" t="s">
        <v>785</v>
      </c>
      <c r="E46" s="85" t="s">
        <v>641</v>
      </c>
      <c r="F46" s="84">
        <v>65523</v>
      </c>
      <c r="G46" s="58" t="s">
        <v>786</v>
      </c>
      <c r="H46" s="84">
        <v>311</v>
      </c>
      <c r="I46" s="48">
        <v>37135</v>
      </c>
      <c r="J46" s="84"/>
      <c r="K46" s="50" t="s">
        <v>787</v>
      </c>
      <c r="L46" s="100" t="str">
        <f t="shared" si="0"/>
        <v>E045</v>
      </c>
      <c r="M46" s="100" t="str">
        <f t="shared" si="0"/>
        <v>E</v>
      </c>
    </row>
    <row r="47" spans="1:13" x14ac:dyDescent="0.4">
      <c r="A47" s="1" t="str">
        <f t="shared" si="1"/>
        <v>E046</v>
      </c>
      <c r="B47" s="97" t="str">
        <f>VLOOKUP(C47,item!B:C,2,0)</f>
        <v>E</v>
      </c>
      <c r="C47" s="95" t="s">
        <v>751</v>
      </c>
      <c r="D47" s="84" t="s">
        <v>788</v>
      </c>
      <c r="E47" s="85" t="s">
        <v>641</v>
      </c>
      <c r="F47" s="84">
        <v>65521</v>
      </c>
      <c r="G47" s="58" t="s">
        <v>789</v>
      </c>
      <c r="H47" s="84">
        <v>315</v>
      </c>
      <c r="I47" s="48">
        <v>37165</v>
      </c>
      <c r="J47" s="84"/>
      <c r="K47" s="50" t="s">
        <v>790</v>
      </c>
      <c r="L47" s="100" t="str">
        <f t="shared" si="0"/>
        <v>E046</v>
      </c>
      <c r="M47" s="100" t="str">
        <f t="shared" si="0"/>
        <v>E</v>
      </c>
    </row>
    <row r="48" spans="1:13" x14ac:dyDescent="0.4">
      <c r="A48" s="1" t="str">
        <f t="shared" si="1"/>
        <v>E047</v>
      </c>
      <c r="B48" s="97" t="str">
        <f>VLOOKUP(C48,item!B:C,2,0)</f>
        <v>E</v>
      </c>
      <c r="C48" s="95" t="s">
        <v>751</v>
      </c>
      <c r="D48" s="84" t="s">
        <v>791</v>
      </c>
      <c r="E48" s="85" t="s">
        <v>641</v>
      </c>
      <c r="F48" s="84">
        <v>65518</v>
      </c>
      <c r="G48" s="58" t="s">
        <v>792</v>
      </c>
      <c r="H48" s="84">
        <v>315</v>
      </c>
      <c r="I48" s="48">
        <v>37196</v>
      </c>
      <c r="J48" s="84"/>
      <c r="K48" s="50" t="s">
        <v>793</v>
      </c>
      <c r="L48" s="100" t="str">
        <f t="shared" si="0"/>
        <v>E047</v>
      </c>
      <c r="M48" s="100" t="str">
        <f t="shared" si="0"/>
        <v>E</v>
      </c>
    </row>
    <row r="49" spans="1:18" x14ac:dyDescent="0.4">
      <c r="A49" s="1" t="str">
        <f t="shared" si="1"/>
        <v>E048</v>
      </c>
      <c r="B49" s="97" t="str">
        <f>VLOOKUP(C49,item!B:C,2,0)</f>
        <v>E</v>
      </c>
      <c r="C49" s="95" t="s">
        <v>751</v>
      </c>
      <c r="D49" s="71"/>
      <c r="E49" s="85" t="s">
        <v>641</v>
      </c>
      <c r="F49" s="84">
        <v>65516</v>
      </c>
      <c r="G49" s="58"/>
      <c r="H49" s="84">
        <v>315</v>
      </c>
      <c r="I49" s="48">
        <v>37226</v>
      </c>
      <c r="J49" s="72"/>
      <c r="K49" s="50" t="s">
        <v>794</v>
      </c>
      <c r="L49" s="100" t="str">
        <f t="shared" si="0"/>
        <v>E048</v>
      </c>
      <c r="M49" s="100" t="str">
        <f t="shared" si="0"/>
        <v>E</v>
      </c>
    </row>
    <row r="50" spans="1:18" x14ac:dyDescent="0.4">
      <c r="A50" s="1" t="str">
        <f t="shared" si="1"/>
        <v>E049</v>
      </c>
      <c r="B50" s="97" t="str">
        <f>VLOOKUP(C50,item!B:C,2,0)</f>
        <v>E</v>
      </c>
      <c r="C50" s="95" t="s">
        <v>751</v>
      </c>
      <c r="D50" s="84" t="s">
        <v>795</v>
      </c>
      <c r="E50" s="85" t="s">
        <v>641</v>
      </c>
      <c r="F50" s="84">
        <v>65056</v>
      </c>
      <c r="G50" s="58" t="s">
        <v>796</v>
      </c>
      <c r="H50" s="84">
        <v>316</v>
      </c>
      <c r="I50" s="48">
        <v>37257</v>
      </c>
      <c r="J50" s="84"/>
      <c r="K50" s="50" t="s">
        <v>797</v>
      </c>
      <c r="L50" s="100" t="str">
        <f t="shared" si="0"/>
        <v>E049</v>
      </c>
      <c r="M50" s="100" t="str">
        <f t="shared" si="0"/>
        <v>E</v>
      </c>
    </row>
    <row r="51" spans="1:18" x14ac:dyDescent="0.4">
      <c r="A51" s="1" t="str">
        <f t="shared" si="1"/>
        <v>E050</v>
      </c>
      <c r="B51" s="97" t="str">
        <f>VLOOKUP(C51,item!B:C,2,0)</f>
        <v>E</v>
      </c>
      <c r="C51" s="95" t="s">
        <v>751</v>
      </c>
      <c r="D51" s="84" t="s">
        <v>798</v>
      </c>
      <c r="E51" s="85" t="s">
        <v>641</v>
      </c>
      <c r="F51" s="77">
        <v>65032</v>
      </c>
      <c r="G51" s="86" t="s">
        <v>799</v>
      </c>
      <c r="H51" s="77">
        <v>316</v>
      </c>
      <c r="I51" s="48">
        <v>37288</v>
      </c>
      <c r="J51" s="77"/>
      <c r="K51" s="50" t="s">
        <v>800</v>
      </c>
      <c r="L51" s="100" t="str">
        <f t="shared" si="0"/>
        <v>E050</v>
      </c>
      <c r="M51" s="100" t="str">
        <f t="shared" si="0"/>
        <v>E</v>
      </c>
    </row>
    <row r="52" spans="1:18" x14ac:dyDescent="0.4">
      <c r="A52" s="1" t="str">
        <f t="shared" si="1"/>
        <v>E051</v>
      </c>
      <c r="B52" s="97" t="str">
        <f>VLOOKUP(C52,item!B:C,2,0)</f>
        <v>E</v>
      </c>
      <c r="C52" s="95" t="s">
        <v>751</v>
      </c>
      <c r="D52" s="96" t="s">
        <v>801</v>
      </c>
      <c r="E52" s="85" t="s">
        <v>641</v>
      </c>
      <c r="F52" s="77">
        <v>65025</v>
      </c>
      <c r="G52" s="86" t="s">
        <v>802</v>
      </c>
      <c r="H52" s="77">
        <v>316</v>
      </c>
      <c r="I52" s="48">
        <v>37316</v>
      </c>
      <c r="J52" s="77"/>
      <c r="K52" s="50" t="s">
        <v>803</v>
      </c>
      <c r="L52" s="100" t="str">
        <f t="shared" si="0"/>
        <v>E051</v>
      </c>
      <c r="M52" s="100" t="str">
        <f t="shared" si="0"/>
        <v>E</v>
      </c>
    </row>
    <row r="53" spans="1:18" ht="30" x14ac:dyDescent="0.4">
      <c r="A53" s="1" t="str">
        <f t="shared" si="1"/>
        <v>E052</v>
      </c>
      <c r="B53" s="97" t="str">
        <f>VLOOKUP(C53,item!B:C,2,0)</f>
        <v>E</v>
      </c>
      <c r="C53" s="95" t="s">
        <v>751</v>
      </c>
      <c r="D53" s="84" t="s">
        <v>804</v>
      </c>
      <c r="E53" s="85" t="s">
        <v>805</v>
      </c>
      <c r="F53" s="77">
        <v>65015</v>
      </c>
      <c r="G53" s="86" t="s">
        <v>806</v>
      </c>
      <c r="H53" s="77">
        <v>407</v>
      </c>
      <c r="I53" s="48">
        <v>37347</v>
      </c>
      <c r="J53" s="77"/>
      <c r="K53" s="50" t="s">
        <v>807</v>
      </c>
      <c r="L53" s="100" t="str">
        <f t="shared" si="0"/>
        <v>E052</v>
      </c>
      <c r="M53" s="100" t="str">
        <f t="shared" si="0"/>
        <v>E</v>
      </c>
      <c r="R53" s="99" t="s">
        <v>904</v>
      </c>
    </row>
    <row r="54" spans="1:18" x14ac:dyDescent="0.4">
      <c r="A54" s="1" t="str">
        <f t="shared" si="1"/>
        <v>E053</v>
      </c>
      <c r="B54" s="97" t="str">
        <f>VLOOKUP(C54,item!B:C,2,0)</f>
        <v>E</v>
      </c>
      <c r="C54" s="95" t="s">
        <v>751</v>
      </c>
      <c r="D54" s="84" t="s">
        <v>808</v>
      </c>
      <c r="E54" s="85" t="s">
        <v>712</v>
      </c>
      <c r="F54" s="97">
        <v>65054</v>
      </c>
      <c r="G54" s="98" t="s">
        <v>809</v>
      </c>
      <c r="H54" s="97">
        <v>409</v>
      </c>
      <c r="I54" s="48">
        <v>37377</v>
      </c>
      <c r="J54" s="97"/>
      <c r="K54" s="50" t="s">
        <v>810</v>
      </c>
      <c r="L54" s="100" t="str">
        <f t="shared" si="0"/>
        <v>E053</v>
      </c>
      <c r="M54" s="100" t="str">
        <f t="shared" si="0"/>
        <v>E</v>
      </c>
    </row>
  </sheetData>
  <phoneticPr fontId="14" type="noConversion"/>
  <conditionalFormatting sqref="C1:D10 F1:J10">
    <cfRule type="expression" dxfId="210" priority="44">
      <formula>#REF!="程式組"</formula>
    </cfRule>
    <cfRule type="expression" dxfId="209" priority="45">
      <formula>#REF!="網路組"</formula>
    </cfRule>
  </conditionalFormatting>
  <conditionalFormatting sqref="C1:D21 F1:J21">
    <cfRule type="expression" dxfId="208" priority="46">
      <formula>#REF!="作業組"</formula>
    </cfRule>
    <cfRule type="expression" dxfId="207" priority="47">
      <formula>#REF!="教學組"</formula>
    </cfRule>
    <cfRule type="expression" dxfId="206" priority="48">
      <formula>#REF!="行政室"</formula>
    </cfRule>
  </conditionalFormatting>
  <conditionalFormatting sqref="C11:D21 F11:J21">
    <cfRule type="expression" dxfId="205" priority="49">
      <formula>#REF!="程式組"</formula>
    </cfRule>
    <cfRule type="expression" dxfId="204" priority="50">
      <formula>#REF!="網路組"</formula>
    </cfRule>
  </conditionalFormatting>
  <conditionalFormatting sqref="J55:K58 F1:K54 F59:K1048576 C1:E1048576">
    <cfRule type="expression" dxfId="203" priority="38">
      <formula>$A1="程式組"</formula>
    </cfRule>
    <cfRule type="expression" dxfId="202" priority="39">
      <formula>$A1="網路組"</formula>
    </cfRule>
    <cfRule type="expression" dxfId="201" priority="40">
      <formula>$A1="作業組"</formula>
    </cfRule>
    <cfRule type="expression" dxfId="200" priority="41">
      <formula>$A1="教學組"</formula>
    </cfRule>
    <cfRule type="expression" dxfId="199" priority="42">
      <formula>$A1="行政室"</formula>
    </cfRule>
  </conditionalFormatting>
  <conditionalFormatting sqref="I1:I65522">
    <cfRule type="cellIs" dxfId="198" priority="43" stopIfTrue="1" operator="notEqual">
      <formula>#REF!</formula>
    </cfRule>
  </conditionalFormatting>
  <conditionalFormatting sqref="O1:P2">
    <cfRule type="expression" dxfId="197" priority="28">
      <formula>$A1="程式組"</formula>
    </cfRule>
    <cfRule type="expression" dxfId="196" priority="29">
      <formula>$A1="網路組"</formula>
    </cfRule>
    <cfRule type="expression" dxfId="195" priority="30">
      <formula>$A1="作業組"</formula>
    </cfRule>
    <cfRule type="expression" dxfId="194" priority="31">
      <formula>$A1="教學組"</formula>
    </cfRule>
    <cfRule type="expression" dxfId="193" priority="32">
      <formula>$A1="行政室"</formula>
    </cfRule>
    <cfRule type="expression" dxfId="192" priority="33">
      <formula>#REF!="程式組"</formula>
    </cfRule>
    <cfRule type="expression" dxfId="191" priority="34">
      <formula>#REF!="網路組"</formula>
    </cfRule>
    <cfRule type="expression" dxfId="190" priority="35">
      <formula>#REF!="作業組"</formula>
    </cfRule>
    <cfRule type="expression" dxfId="189" priority="36">
      <formula>#REF!="教學組"</formula>
    </cfRule>
    <cfRule type="expression" dxfId="188" priority="37">
      <formula>#REF!="行政室"</formula>
    </cfRule>
  </conditionalFormatting>
  <conditionalFormatting sqref="U1">
    <cfRule type="expression" dxfId="187" priority="18">
      <formula>$A1="程式組"</formula>
    </cfRule>
    <cfRule type="expression" dxfId="186" priority="19">
      <formula>$A1="網路組"</formula>
    </cfRule>
    <cfRule type="expression" dxfId="185" priority="20">
      <formula>$A1="作業組"</formula>
    </cfRule>
    <cfRule type="expression" dxfId="184" priority="21">
      <formula>$A1="教學組"</formula>
    </cfRule>
    <cfRule type="expression" dxfId="183" priority="22">
      <formula>$A1="行政室"</formula>
    </cfRule>
    <cfRule type="expression" dxfId="182" priority="23">
      <formula>#REF!="程式組"</formula>
    </cfRule>
    <cfRule type="expression" dxfId="181" priority="24">
      <formula>#REF!="網路組"</formula>
    </cfRule>
    <cfRule type="expression" dxfId="180" priority="25">
      <formula>#REF!="作業組"</formula>
    </cfRule>
    <cfRule type="expression" dxfId="179" priority="26">
      <formula>#REF!="教學組"</formula>
    </cfRule>
    <cfRule type="expression" dxfId="178" priority="27">
      <formula>#REF!="行政室"</formula>
    </cfRule>
  </conditionalFormatting>
  <conditionalFormatting sqref="E1:E10">
    <cfRule type="expression" dxfId="177" priority="11">
      <formula>#REF!="程式組"</formula>
    </cfRule>
    <cfRule type="expression" dxfId="176" priority="12">
      <formula>#REF!="網路組"</formula>
    </cfRule>
  </conditionalFormatting>
  <conditionalFormatting sqref="E1:E21">
    <cfRule type="expression" dxfId="175" priority="13">
      <formula>#REF!="作業組"</formula>
    </cfRule>
    <cfRule type="expression" dxfId="174" priority="14">
      <formula>#REF!="教學組"</formula>
    </cfRule>
    <cfRule type="expression" dxfId="173" priority="15">
      <formula>#REF!="行政室"</formula>
    </cfRule>
  </conditionalFormatting>
  <conditionalFormatting sqref="E11:E21">
    <cfRule type="expression" dxfId="172" priority="16">
      <formula>#REF!="程式組"</formula>
    </cfRule>
    <cfRule type="expression" dxfId="171" priority="17">
      <formula>#REF!="網路組"</formula>
    </cfRule>
  </conditionalFormatting>
  <conditionalFormatting sqref="E35">
    <cfRule type="expression" dxfId="170" priority="1">
      <formula>#REF!="作業組"</formula>
    </cfRule>
    <cfRule type="expression" dxfId="169" priority="2">
      <formula>#REF!="教學組"</formula>
    </cfRule>
    <cfRule type="expression" dxfId="168" priority="3">
      <formula>#REF!="行政室"</formula>
    </cfRule>
  </conditionalFormatting>
  <conditionalFormatting sqref="E35">
    <cfRule type="expression" dxfId="167" priority="4">
      <formula>#REF!="程式組"</formula>
    </cfRule>
    <cfRule type="expression" dxfId="166" priority="5">
      <formula>#REF!="網路組"</formula>
    </cfRule>
  </conditionalFormatting>
  <dataValidations count="1">
    <dataValidation type="list" allowBlank="1" showInputMessage="1" showErrorMessage="1" sqref="R53 T2" xr:uid="{E56EB039-9FB6-41DD-9CCD-CAC37C95F605}">
      <formula1>$A:$A</formula1>
    </dataValidation>
  </dataValidations>
  <pageMargins left="0.75" right="0.75" top="1" bottom="1" header="0.5" footer="0.5"/>
  <pageSetup paperSize="9" orientation="portrait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260CC7-221F-46D2-BB92-9A245CB11093}">
          <x14:formula1>
            <xm:f>item!$B$2:$B$6</xm:f>
          </x14:formula1>
          <xm:sqref>O2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C8A8-9234-4A64-A08C-4247C2E7C7FA}">
  <sheetPr>
    <tabColor theme="5" tint="0.39997558519241921"/>
  </sheetPr>
  <dimension ref="A1:X54"/>
  <sheetViews>
    <sheetView zoomScale="115" zoomScaleNormal="115" workbookViewId="0">
      <selection activeCell="P9" sqref="P9"/>
    </sheetView>
  </sheetViews>
  <sheetFormatPr defaultRowHeight="15.45" x14ac:dyDescent="0.4"/>
  <cols>
    <col min="1" max="1" width="5.6640625" style="37" customWidth="1"/>
    <col min="2" max="2" width="9.83203125" style="37" customWidth="1"/>
    <col min="3" max="3" width="10" style="99" customWidth="1"/>
    <col min="4" max="4" width="8.83203125" style="99"/>
    <col min="5" max="5" width="12.08203125" style="99" customWidth="1"/>
    <col min="6" max="6" width="7.5" style="100" hidden="1" customWidth="1"/>
    <col min="7" max="7" width="8.08203125" style="99" hidden="1" customWidth="1"/>
    <col min="8" max="8" width="7.6640625" style="100" hidden="1" customWidth="1"/>
    <col min="9" max="9" width="11.5" style="101" bestFit="1" customWidth="1"/>
    <col min="10" max="10" width="5.5" style="100" bestFit="1" customWidth="1"/>
    <col min="11" max="11" width="4.33203125" style="23" customWidth="1"/>
    <col min="12" max="12" width="6.5" style="51" customWidth="1"/>
    <col min="13" max="13" width="8.9140625" style="51" customWidth="1"/>
    <col min="14" max="14" width="6.1640625" style="51" customWidth="1"/>
    <col min="15" max="16" width="8.83203125" style="51"/>
    <col min="17" max="17" width="11.5" style="51" customWidth="1"/>
    <col min="18" max="18" width="10" style="51" bestFit="1" customWidth="1"/>
    <col min="19" max="19" width="12.83203125" style="51" customWidth="1"/>
    <col min="20" max="20" width="13.58203125" style="51" customWidth="1"/>
    <col min="21" max="21" width="14.5" style="51" customWidth="1"/>
    <col min="22" max="22" width="16.58203125" style="51" customWidth="1"/>
    <col min="23" max="23" width="11.08203125" style="51" customWidth="1"/>
    <col min="24" max="251" width="8.83203125" style="51"/>
    <col min="252" max="252" width="6.6640625" style="51" customWidth="1"/>
    <col min="253" max="253" width="13.08203125" style="51" customWidth="1"/>
    <col min="254" max="254" width="7.9140625" style="51" bestFit="1" customWidth="1"/>
    <col min="255" max="255" width="11.4140625" style="51" customWidth="1"/>
    <col min="256" max="256" width="10.4140625" style="51" bestFit="1" customWidth="1"/>
    <col min="257" max="259" width="11.4140625" style="51" customWidth="1"/>
    <col min="260" max="260" width="10.4140625" style="51" bestFit="1" customWidth="1"/>
    <col min="261" max="507" width="8.83203125" style="51"/>
    <col min="508" max="508" width="6.6640625" style="51" customWidth="1"/>
    <col min="509" max="509" width="13.08203125" style="51" customWidth="1"/>
    <col min="510" max="510" width="7.9140625" style="51" bestFit="1" customWidth="1"/>
    <col min="511" max="511" width="11.4140625" style="51" customWidth="1"/>
    <col min="512" max="512" width="10.4140625" style="51" bestFit="1" customWidth="1"/>
    <col min="513" max="515" width="11.4140625" style="51" customWidth="1"/>
    <col min="516" max="516" width="10.4140625" style="51" bestFit="1" customWidth="1"/>
    <col min="517" max="763" width="8.83203125" style="51"/>
    <col min="764" max="764" width="6.6640625" style="51" customWidth="1"/>
    <col min="765" max="765" width="13.08203125" style="51" customWidth="1"/>
    <col min="766" max="766" width="7.9140625" style="51" bestFit="1" customWidth="1"/>
    <col min="767" max="767" width="11.4140625" style="51" customWidth="1"/>
    <col min="768" max="768" width="10.4140625" style="51" bestFit="1" customWidth="1"/>
    <col min="769" max="771" width="11.4140625" style="51" customWidth="1"/>
    <col min="772" max="772" width="10.4140625" style="51" bestFit="1" customWidth="1"/>
    <col min="773" max="1019" width="8.83203125" style="51"/>
    <col min="1020" max="1020" width="6.6640625" style="51" customWidth="1"/>
    <col min="1021" max="1021" width="13.08203125" style="51" customWidth="1"/>
    <col min="1022" max="1022" width="7.9140625" style="51" bestFit="1" customWidth="1"/>
    <col min="1023" max="1023" width="11.4140625" style="51" customWidth="1"/>
    <col min="1024" max="1024" width="10.4140625" style="51" bestFit="1" customWidth="1"/>
    <col min="1025" max="1027" width="11.4140625" style="51" customWidth="1"/>
    <col min="1028" max="1028" width="10.4140625" style="51" bestFit="1" customWidth="1"/>
    <col min="1029" max="1275" width="8.83203125" style="51"/>
    <col min="1276" max="1276" width="6.6640625" style="51" customWidth="1"/>
    <col min="1277" max="1277" width="13.08203125" style="51" customWidth="1"/>
    <col min="1278" max="1278" width="7.9140625" style="51" bestFit="1" customWidth="1"/>
    <col min="1279" max="1279" width="11.4140625" style="51" customWidth="1"/>
    <col min="1280" max="1280" width="10.4140625" style="51" bestFit="1" customWidth="1"/>
    <col min="1281" max="1283" width="11.4140625" style="51" customWidth="1"/>
    <col min="1284" max="1284" width="10.4140625" style="51" bestFit="1" customWidth="1"/>
    <col min="1285" max="1531" width="8.83203125" style="51"/>
    <col min="1532" max="1532" width="6.6640625" style="51" customWidth="1"/>
    <col min="1533" max="1533" width="13.08203125" style="51" customWidth="1"/>
    <col min="1534" max="1534" width="7.9140625" style="51" bestFit="1" customWidth="1"/>
    <col min="1535" max="1535" width="11.4140625" style="51" customWidth="1"/>
    <col min="1536" max="1536" width="10.4140625" style="51" bestFit="1" customWidth="1"/>
    <col min="1537" max="1539" width="11.4140625" style="51" customWidth="1"/>
    <col min="1540" max="1540" width="10.4140625" style="51" bestFit="1" customWidth="1"/>
    <col min="1541" max="1787" width="8.83203125" style="51"/>
    <col min="1788" max="1788" width="6.6640625" style="51" customWidth="1"/>
    <col min="1789" max="1789" width="13.08203125" style="51" customWidth="1"/>
    <col min="1790" max="1790" width="7.9140625" style="51" bestFit="1" customWidth="1"/>
    <col min="1791" max="1791" width="11.4140625" style="51" customWidth="1"/>
    <col min="1792" max="1792" width="10.4140625" style="51" bestFit="1" customWidth="1"/>
    <col min="1793" max="1795" width="11.4140625" style="51" customWidth="1"/>
    <col min="1796" max="1796" width="10.4140625" style="51" bestFit="1" customWidth="1"/>
    <col min="1797" max="2043" width="8.83203125" style="51"/>
    <col min="2044" max="2044" width="6.6640625" style="51" customWidth="1"/>
    <col min="2045" max="2045" width="13.08203125" style="51" customWidth="1"/>
    <col min="2046" max="2046" width="7.9140625" style="51" bestFit="1" customWidth="1"/>
    <col min="2047" max="2047" width="11.4140625" style="51" customWidth="1"/>
    <col min="2048" max="2048" width="10.4140625" style="51" bestFit="1" customWidth="1"/>
    <col min="2049" max="2051" width="11.4140625" style="51" customWidth="1"/>
    <col min="2052" max="2052" width="10.4140625" style="51" bestFit="1" customWidth="1"/>
    <col min="2053" max="2299" width="8.83203125" style="51"/>
    <col min="2300" max="2300" width="6.6640625" style="51" customWidth="1"/>
    <col min="2301" max="2301" width="13.08203125" style="51" customWidth="1"/>
    <col min="2302" max="2302" width="7.9140625" style="51" bestFit="1" customWidth="1"/>
    <col min="2303" max="2303" width="11.4140625" style="51" customWidth="1"/>
    <col min="2304" max="2304" width="10.4140625" style="51" bestFit="1" customWidth="1"/>
    <col min="2305" max="2307" width="11.4140625" style="51" customWidth="1"/>
    <col min="2308" max="2308" width="10.4140625" style="51" bestFit="1" customWidth="1"/>
    <col min="2309" max="2555" width="8.83203125" style="51"/>
    <col min="2556" max="2556" width="6.6640625" style="51" customWidth="1"/>
    <col min="2557" max="2557" width="13.08203125" style="51" customWidth="1"/>
    <col min="2558" max="2558" width="7.9140625" style="51" bestFit="1" customWidth="1"/>
    <col min="2559" max="2559" width="11.4140625" style="51" customWidth="1"/>
    <col min="2560" max="2560" width="10.4140625" style="51" bestFit="1" customWidth="1"/>
    <col min="2561" max="2563" width="11.4140625" style="51" customWidth="1"/>
    <col min="2564" max="2564" width="10.4140625" style="51" bestFit="1" customWidth="1"/>
    <col min="2565" max="2811" width="8.83203125" style="51"/>
    <col min="2812" max="2812" width="6.6640625" style="51" customWidth="1"/>
    <col min="2813" max="2813" width="13.08203125" style="51" customWidth="1"/>
    <col min="2814" max="2814" width="7.9140625" style="51" bestFit="1" customWidth="1"/>
    <col min="2815" max="2815" width="11.4140625" style="51" customWidth="1"/>
    <col min="2816" max="2816" width="10.4140625" style="51" bestFit="1" customWidth="1"/>
    <col min="2817" max="2819" width="11.4140625" style="51" customWidth="1"/>
    <col min="2820" max="2820" width="10.4140625" style="51" bestFit="1" customWidth="1"/>
    <col min="2821" max="3067" width="8.83203125" style="51"/>
    <col min="3068" max="3068" width="6.6640625" style="51" customWidth="1"/>
    <col min="3069" max="3069" width="13.08203125" style="51" customWidth="1"/>
    <col min="3070" max="3070" width="7.9140625" style="51" bestFit="1" customWidth="1"/>
    <col min="3071" max="3071" width="11.4140625" style="51" customWidth="1"/>
    <col min="3072" max="3072" width="10.4140625" style="51" bestFit="1" customWidth="1"/>
    <col min="3073" max="3075" width="11.4140625" style="51" customWidth="1"/>
    <col min="3076" max="3076" width="10.4140625" style="51" bestFit="1" customWidth="1"/>
    <col min="3077" max="3323" width="8.83203125" style="51"/>
    <col min="3324" max="3324" width="6.6640625" style="51" customWidth="1"/>
    <col min="3325" max="3325" width="13.08203125" style="51" customWidth="1"/>
    <col min="3326" max="3326" width="7.9140625" style="51" bestFit="1" customWidth="1"/>
    <col min="3327" max="3327" width="11.4140625" style="51" customWidth="1"/>
    <col min="3328" max="3328" width="10.4140625" style="51" bestFit="1" customWidth="1"/>
    <col min="3329" max="3331" width="11.4140625" style="51" customWidth="1"/>
    <col min="3332" max="3332" width="10.4140625" style="51" bestFit="1" customWidth="1"/>
    <col min="3333" max="3579" width="8.83203125" style="51"/>
    <col min="3580" max="3580" width="6.6640625" style="51" customWidth="1"/>
    <col min="3581" max="3581" width="13.08203125" style="51" customWidth="1"/>
    <col min="3582" max="3582" width="7.9140625" style="51" bestFit="1" customWidth="1"/>
    <col min="3583" max="3583" width="11.4140625" style="51" customWidth="1"/>
    <col min="3584" max="3584" width="10.4140625" style="51" bestFit="1" customWidth="1"/>
    <col min="3585" max="3587" width="11.4140625" style="51" customWidth="1"/>
    <col min="3588" max="3588" width="10.4140625" style="51" bestFit="1" customWidth="1"/>
    <col min="3589" max="3835" width="8.83203125" style="51"/>
    <col min="3836" max="3836" width="6.6640625" style="51" customWidth="1"/>
    <col min="3837" max="3837" width="13.08203125" style="51" customWidth="1"/>
    <col min="3838" max="3838" width="7.9140625" style="51" bestFit="1" customWidth="1"/>
    <col min="3839" max="3839" width="11.4140625" style="51" customWidth="1"/>
    <col min="3840" max="3840" width="10.4140625" style="51" bestFit="1" customWidth="1"/>
    <col min="3841" max="3843" width="11.4140625" style="51" customWidth="1"/>
    <col min="3844" max="3844" width="10.4140625" style="51" bestFit="1" customWidth="1"/>
    <col min="3845" max="4091" width="8.83203125" style="51"/>
    <col min="4092" max="4092" width="6.6640625" style="51" customWidth="1"/>
    <col min="4093" max="4093" width="13.08203125" style="51" customWidth="1"/>
    <col min="4094" max="4094" width="7.9140625" style="51" bestFit="1" customWidth="1"/>
    <col min="4095" max="4095" width="11.4140625" style="51" customWidth="1"/>
    <col min="4096" max="4096" width="10.4140625" style="51" bestFit="1" customWidth="1"/>
    <col min="4097" max="4099" width="11.4140625" style="51" customWidth="1"/>
    <col min="4100" max="4100" width="10.4140625" style="51" bestFit="1" customWidth="1"/>
    <col min="4101" max="4347" width="8.83203125" style="51"/>
    <col min="4348" max="4348" width="6.6640625" style="51" customWidth="1"/>
    <col min="4349" max="4349" width="13.08203125" style="51" customWidth="1"/>
    <col min="4350" max="4350" width="7.9140625" style="51" bestFit="1" customWidth="1"/>
    <col min="4351" max="4351" width="11.4140625" style="51" customWidth="1"/>
    <col min="4352" max="4352" width="10.4140625" style="51" bestFit="1" customWidth="1"/>
    <col min="4353" max="4355" width="11.4140625" style="51" customWidth="1"/>
    <col min="4356" max="4356" width="10.4140625" style="51" bestFit="1" customWidth="1"/>
    <col min="4357" max="4603" width="8.83203125" style="51"/>
    <col min="4604" max="4604" width="6.6640625" style="51" customWidth="1"/>
    <col min="4605" max="4605" width="13.08203125" style="51" customWidth="1"/>
    <col min="4606" max="4606" width="7.9140625" style="51" bestFit="1" customWidth="1"/>
    <col min="4607" max="4607" width="11.4140625" style="51" customWidth="1"/>
    <col min="4608" max="4608" width="10.4140625" style="51" bestFit="1" customWidth="1"/>
    <col min="4609" max="4611" width="11.4140625" style="51" customWidth="1"/>
    <col min="4612" max="4612" width="10.4140625" style="51" bestFit="1" customWidth="1"/>
    <col min="4613" max="4859" width="8.83203125" style="51"/>
    <col min="4860" max="4860" width="6.6640625" style="51" customWidth="1"/>
    <col min="4861" max="4861" width="13.08203125" style="51" customWidth="1"/>
    <col min="4862" max="4862" width="7.9140625" style="51" bestFit="1" customWidth="1"/>
    <col min="4863" max="4863" width="11.4140625" style="51" customWidth="1"/>
    <col min="4864" max="4864" width="10.4140625" style="51" bestFit="1" customWidth="1"/>
    <col min="4865" max="4867" width="11.4140625" style="51" customWidth="1"/>
    <col min="4868" max="4868" width="10.4140625" style="51" bestFit="1" customWidth="1"/>
    <col min="4869" max="5115" width="8.83203125" style="51"/>
    <col min="5116" max="5116" width="6.6640625" style="51" customWidth="1"/>
    <col min="5117" max="5117" width="13.08203125" style="51" customWidth="1"/>
    <col min="5118" max="5118" width="7.9140625" style="51" bestFit="1" customWidth="1"/>
    <col min="5119" max="5119" width="11.4140625" style="51" customWidth="1"/>
    <col min="5120" max="5120" width="10.4140625" style="51" bestFit="1" customWidth="1"/>
    <col min="5121" max="5123" width="11.4140625" style="51" customWidth="1"/>
    <col min="5124" max="5124" width="10.4140625" style="51" bestFit="1" customWidth="1"/>
    <col min="5125" max="5371" width="8.83203125" style="51"/>
    <col min="5372" max="5372" width="6.6640625" style="51" customWidth="1"/>
    <col min="5373" max="5373" width="13.08203125" style="51" customWidth="1"/>
    <col min="5374" max="5374" width="7.9140625" style="51" bestFit="1" customWidth="1"/>
    <col min="5375" max="5375" width="11.4140625" style="51" customWidth="1"/>
    <col min="5376" max="5376" width="10.4140625" style="51" bestFit="1" customWidth="1"/>
    <col min="5377" max="5379" width="11.4140625" style="51" customWidth="1"/>
    <col min="5380" max="5380" width="10.4140625" style="51" bestFit="1" customWidth="1"/>
    <col min="5381" max="5627" width="8.83203125" style="51"/>
    <col min="5628" max="5628" width="6.6640625" style="51" customWidth="1"/>
    <col min="5629" max="5629" width="13.08203125" style="51" customWidth="1"/>
    <col min="5630" max="5630" width="7.9140625" style="51" bestFit="1" customWidth="1"/>
    <col min="5631" max="5631" width="11.4140625" style="51" customWidth="1"/>
    <col min="5632" max="5632" width="10.4140625" style="51" bestFit="1" customWidth="1"/>
    <col min="5633" max="5635" width="11.4140625" style="51" customWidth="1"/>
    <col min="5636" max="5636" width="10.4140625" style="51" bestFit="1" customWidth="1"/>
    <col min="5637" max="5883" width="8.83203125" style="51"/>
    <col min="5884" max="5884" width="6.6640625" style="51" customWidth="1"/>
    <col min="5885" max="5885" width="13.08203125" style="51" customWidth="1"/>
    <col min="5886" max="5886" width="7.9140625" style="51" bestFit="1" customWidth="1"/>
    <col min="5887" max="5887" width="11.4140625" style="51" customWidth="1"/>
    <col min="5888" max="5888" width="10.4140625" style="51" bestFit="1" customWidth="1"/>
    <col min="5889" max="5891" width="11.4140625" style="51" customWidth="1"/>
    <col min="5892" max="5892" width="10.4140625" style="51" bestFit="1" customWidth="1"/>
    <col min="5893" max="6139" width="8.83203125" style="51"/>
    <col min="6140" max="6140" width="6.6640625" style="51" customWidth="1"/>
    <col min="6141" max="6141" width="13.08203125" style="51" customWidth="1"/>
    <col min="6142" max="6142" width="7.9140625" style="51" bestFit="1" customWidth="1"/>
    <col min="6143" max="6143" width="11.4140625" style="51" customWidth="1"/>
    <col min="6144" max="6144" width="10.4140625" style="51" bestFit="1" customWidth="1"/>
    <col min="6145" max="6147" width="11.4140625" style="51" customWidth="1"/>
    <col min="6148" max="6148" width="10.4140625" style="51" bestFit="1" customWidth="1"/>
    <col min="6149" max="6395" width="8.83203125" style="51"/>
    <col min="6396" max="6396" width="6.6640625" style="51" customWidth="1"/>
    <col min="6397" max="6397" width="13.08203125" style="51" customWidth="1"/>
    <col min="6398" max="6398" width="7.9140625" style="51" bestFit="1" customWidth="1"/>
    <col min="6399" max="6399" width="11.4140625" style="51" customWidth="1"/>
    <col min="6400" max="6400" width="10.4140625" style="51" bestFit="1" customWidth="1"/>
    <col min="6401" max="6403" width="11.4140625" style="51" customWidth="1"/>
    <col min="6404" max="6404" width="10.4140625" style="51" bestFit="1" customWidth="1"/>
    <col min="6405" max="6651" width="8.83203125" style="51"/>
    <col min="6652" max="6652" width="6.6640625" style="51" customWidth="1"/>
    <col min="6653" max="6653" width="13.08203125" style="51" customWidth="1"/>
    <col min="6654" max="6654" width="7.9140625" style="51" bestFit="1" customWidth="1"/>
    <col min="6655" max="6655" width="11.4140625" style="51" customWidth="1"/>
    <col min="6656" max="6656" width="10.4140625" style="51" bestFit="1" customWidth="1"/>
    <col min="6657" max="6659" width="11.4140625" style="51" customWidth="1"/>
    <col min="6660" max="6660" width="10.4140625" style="51" bestFit="1" customWidth="1"/>
    <col min="6661" max="6907" width="8.83203125" style="51"/>
    <col min="6908" max="6908" width="6.6640625" style="51" customWidth="1"/>
    <col min="6909" max="6909" width="13.08203125" style="51" customWidth="1"/>
    <col min="6910" max="6910" width="7.9140625" style="51" bestFit="1" customWidth="1"/>
    <col min="6911" max="6911" width="11.4140625" style="51" customWidth="1"/>
    <col min="6912" max="6912" width="10.4140625" style="51" bestFit="1" customWidth="1"/>
    <col min="6913" max="6915" width="11.4140625" style="51" customWidth="1"/>
    <col min="6916" max="6916" width="10.4140625" style="51" bestFit="1" customWidth="1"/>
    <col min="6917" max="7163" width="8.83203125" style="51"/>
    <col min="7164" max="7164" width="6.6640625" style="51" customWidth="1"/>
    <col min="7165" max="7165" width="13.08203125" style="51" customWidth="1"/>
    <col min="7166" max="7166" width="7.9140625" style="51" bestFit="1" customWidth="1"/>
    <col min="7167" max="7167" width="11.4140625" style="51" customWidth="1"/>
    <col min="7168" max="7168" width="10.4140625" style="51" bestFit="1" customWidth="1"/>
    <col min="7169" max="7171" width="11.4140625" style="51" customWidth="1"/>
    <col min="7172" max="7172" width="10.4140625" style="51" bestFit="1" customWidth="1"/>
    <col min="7173" max="7419" width="8.83203125" style="51"/>
    <col min="7420" max="7420" width="6.6640625" style="51" customWidth="1"/>
    <col min="7421" max="7421" width="13.08203125" style="51" customWidth="1"/>
    <col min="7422" max="7422" width="7.9140625" style="51" bestFit="1" customWidth="1"/>
    <col min="7423" max="7423" width="11.4140625" style="51" customWidth="1"/>
    <col min="7424" max="7424" width="10.4140625" style="51" bestFit="1" customWidth="1"/>
    <col min="7425" max="7427" width="11.4140625" style="51" customWidth="1"/>
    <col min="7428" max="7428" width="10.4140625" style="51" bestFit="1" customWidth="1"/>
    <col min="7429" max="7675" width="8.83203125" style="51"/>
    <col min="7676" max="7676" width="6.6640625" style="51" customWidth="1"/>
    <col min="7677" max="7677" width="13.08203125" style="51" customWidth="1"/>
    <col min="7678" max="7678" width="7.9140625" style="51" bestFit="1" customWidth="1"/>
    <col min="7679" max="7679" width="11.4140625" style="51" customWidth="1"/>
    <col min="7680" max="7680" width="10.4140625" style="51" bestFit="1" customWidth="1"/>
    <col min="7681" max="7683" width="11.4140625" style="51" customWidth="1"/>
    <col min="7684" max="7684" width="10.4140625" style="51" bestFit="1" customWidth="1"/>
    <col min="7685" max="7931" width="8.83203125" style="51"/>
    <col min="7932" max="7932" width="6.6640625" style="51" customWidth="1"/>
    <col min="7933" max="7933" width="13.08203125" style="51" customWidth="1"/>
    <col min="7934" max="7934" width="7.9140625" style="51" bestFit="1" customWidth="1"/>
    <col min="7935" max="7935" width="11.4140625" style="51" customWidth="1"/>
    <col min="7936" max="7936" width="10.4140625" style="51" bestFit="1" customWidth="1"/>
    <col min="7937" max="7939" width="11.4140625" style="51" customWidth="1"/>
    <col min="7940" max="7940" width="10.4140625" style="51" bestFit="1" customWidth="1"/>
    <col min="7941" max="8187" width="8.83203125" style="51"/>
    <col min="8188" max="8188" width="6.6640625" style="51" customWidth="1"/>
    <col min="8189" max="8189" width="13.08203125" style="51" customWidth="1"/>
    <col min="8190" max="8190" width="7.9140625" style="51" bestFit="1" customWidth="1"/>
    <col min="8191" max="8191" width="11.4140625" style="51" customWidth="1"/>
    <col min="8192" max="8192" width="10.4140625" style="51" bestFit="1" customWidth="1"/>
    <col min="8193" max="8195" width="11.4140625" style="51" customWidth="1"/>
    <col min="8196" max="8196" width="10.4140625" style="51" bestFit="1" customWidth="1"/>
    <col min="8197" max="8443" width="8.83203125" style="51"/>
    <col min="8444" max="8444" width="6.6640625" style="51" customWidth="1"/>
    <col min="8445" max="8445" width="13.08203125" style="51" customWidth="1"/>
    <col min="8446" max="8446" width="7.9140625" style="51" bestFit="1" customWidth="1"/>
    <col min="8447" max="8447" width="11.4140625" style="51" customWidth="1"/>
    <col min="8448" max="8448" width="10.4140625" style="51" bestFit="1" customWidth="1"/>
    <col min="8449" max="8451" width="11.4140625" style="51" customWidth="1"/>
    <col min="8452" max="8452" width="10.4140625" style="51" bestFit="1" customWidth="1"/>
    <col min="8453" max="8699" width="8.83203125" style="51"/>
    <col min="8700" max="8700" width="6.6640625" style="51" customWidth="1"/>
    <col min="8701" max="8701" width="13.08203125" style="51" customWidth="1"/>
    <col min="8702" max="8702" width="7.9140625" style="51" bestFit="1" customWidth="1"/>
    <col min="8703" max="8703" width="11.4140625" style="51" customWidth="1"/>
    <col min="8704" max="8704" width="10.4140625" style="51" bestFit="1" customWidth="1"/>
    <col min="8705" max="8707" width="11.4140625" style="51" customWidth="1"/>
    <col min="8708" max="8708" width="10.4140625" style="51" bestFit="1" customWidth="1"/>
    <col min="8709" max="8955" width="8.83203125" style="51"/>
    <col min="8956" max="8956" width="6.6640625" style="51" customWidth="1"/>
    <col min="8957" max="8957" width="13.08203125" style="51" customWidth="1"/>
    <col min="8958" max="8958" width="7.9140625" style="51" bestFit="1" customWidth="1"/>
    <col min="8959" max="8959" width="11.4140625" style="51" customWidth="1"/>
    <col min="8960" max="8960" width="10.4140625" style="51" bestFit="1" customWidth="1"/>
    <col min="8961" max="8963" width="11.4140625" style="51" customWidth="1"/>
    <col min="8964" max="8964" width="10.4140625" style="51" bestFit="1" customWidth="1"/>
    <col min="8965" max="9211" width="8.83203125" style="51"/>
    <col min="9212" max="9212" width="6.6640625" style="51" customWidth="1"/>
    <col min="9213" max="9213" width="13.08203125" style="51" customWidth="1"/>
    <col min="9214" max="9214" width="7.9140625" style="51" bestFit="1" customWidth="1"/>
    <col min="9215" max="9215" width="11.4140625" style="51" customWidth="1"/>
    <col min="9216" max="9216" width="10.4140625" style="51" bestFit="1" customWidth="1"/>
    <col min="9217" max="9219" width="11.4140625" style="51" customWidth="1"/>
    <col min="9220" max="9220" width="10.4140625" style="51" bestFit="1" customWidth="1"/>
    <col min="9221" max="9467" width="8.83203125" style="51"/>
    <col min="9468" max="9468" width="6.6640625" style="51" customWidth="1"/>
    <col min="9469" max="9469" width="13.08203125" style="51" customWidth="1"/>
    <col min="9470" max="9470" width="7.9140625" style="51" bestFit="1" customWidth="1"/>
    <col min="9471" max="9471" width="11.4140625" style="51" customWidth="1"/>
    <col min="9472" max="9472" width="10.4140625" style="51" bestFit="1" customWidth="1"/>
    <col min="9473" max="9475" width="11.4140625" style="51" customWidth="1"/>
    <col min="9476" max="9476" width="10.4140625" style="51" bestFit="1" customWidth="1"/>
    <col min="9477" max="9723" width="8.83203125" style="51"/>
    <col min="9724" max="9724" width="6.6640625" style="51" customWidth="1"/>
    <col min="9725" max="9725" width="13.08203125" style="51" customWidth="1"/>
    <col min="9726" max="9726" width="7.9140625" style="51" bestFit="1" customWidth="1"/>
    <col min="9727" max="9727" width="11.4140625" style="51" customWidth="1"/>
    <col min="9728" max="9728" width="10.4140625" style="51" bestFit="1" customWidth="1"/>
    <col min="9729" max="9731" width="11.4140625" style="51" customWidth="1"/>
    <col min="9732" max="9732" width="10.4140625" style="51" bestFit="1" customWidth="1"/>
    <col min="9733" max="9979" width="8.83203125" style="51"/>
    <col min="9980" max="9980" width="6.6640625" style="51" customWidth="1"/>
    <col min="9981" max="9981" width="13.08203125" style="51" customWidth="1"/>
    <col min="9982" max="9982" width="7.9140625" style="51" bestFit="1" customWidth="1"/>
    <col min="9983" max="9983" width="11.4140625" style="51" customWidth="1"/>
    <col min="9984" max="9984" width="10.4140625" style="51" bestFit="1" customWidth="1"/>
    <col min="9985" max="9987" width="11.4140625" style="51" customWidth="1"/>
    <col min="9988" max="9988" width="10.4140625" style="51" bestFit="1" customWidth="1"/>
    <col min="9989" max="10235" width="8.83203125" style="51"/>
    <col min="10236" max="10236" width="6.6640625" style="51" customWidth="1"/>
    <col min="10237" max="10237" width="13.08203125" style="51" customWidth="1"/>
    <col min="10238" max="10238" width="7.9140625" style="51" bestFit="1" customWidth="1"/>
    <col min="10239" max="10239" width="11.4140625" style="51" customWidth="1"/>
    <col min="10240" max="10240" width="10.4140625" style="51" bestFit="1" customWidth="1"/>
    <col min="10241" max="10243" width="11.4140625" style="51" customWidth="1"/>
    <col min="10244" max="10244" width="10.4140625" style="51" bestFit="1" customWidth="1"/>
    <col min="10245" max="10491" width="8.83203125" style="51"/>
    <col min="10492" max="10492" width="6.6640625" style="51" customWidth="1"/>
    <col min="10493" max="10493" width="13.08203125" style="51" customWidth="1"/>
    <col min="10494" max="10494" width="7.9140625" style="51" bestFit="1" customWidth="1"/>
    <col min="10495" max="10495" width="11.4140625" style="51" customWidth="1"/>
    <col min="10496" max="10496" width="10.4140625" style="51" bestFit="1" customWidth="1"/>
    <col min="10497" max="10499" width="11.4140625" style="51" customWidth="1"/>
    <col min="10500" max="10500" width="10.4140625" style="51" bestFit="1" customWidth="1"/>
    <col min="10501" max="10747" width="8.83203125" style="51"/>
    <col min="10748" max="10748" width="6.6640625" style="51" customWidth="1"/>
    <col min="10749" max="10749" width="13.08203125" style="51" customWidth="1"/>
    <col min="10750" max="10750" width="7.9140625" style="51" bestFit="1" customWidth="1"/>
    <col min="10751" max="10751" width="11.4140625" style="51" customWidth="1"/>
    <col min="10752" max="10752" width="10.4140625" style="51" bestFit="1" customWidth="1"/>
    <col min="10753" max="10755" width="11.4140625" style="51" customWidth="1"/>
    <col min="10756" max="10756" width="10.4140625" style="51" bestFit="1" customWidth="1"/>
    <col min="10757" max="11003" width="8.83203125" style="51"/>
    <col min="11004" max="11004" width="6.6640625" style="51" customWidth="1"/>
    <col min="11005" max="11005" width="13.08203125" style="51" customWidth="1"/>
    <col min="11006" max="11006" width="7.9140625" style="51" bestFit="1" customWidth="1"/>
    <col min="11007" max="11007" width="11.4140625" style="51" customWidth="1"/>
    <col min="11008" max="11008" width="10.4140625" style="51" bestFit="1" customWidth="1"/>
    <col min="11009" max="11011" width="11.4140625" style="51" customWidth="1"/>
    <col min="11012" max="11012" width="10.4140625" style="51" bestFit="1" customWidth="1"/>
    <col min="11013" max="11259" width="8.83203125" style="51"/>
    <col min="11260" max="11260" width="6.6640625" style="51" customWidth="1"/>
    <col min="11261" max="11261" width="13.08203125" style="51" customWidth="1"/>
    <col min="11262" max="11262" width="7.9140625" style="51" bestFit="1" customWidth="1"/>
    <col min="11263" max="11263" width="11.4140625" style="51" customWidth="1"/>
    <col min="11264" max="11264" width="10.4140625" style="51" bestFit="1" customWidth="1"/>
    <col min="11265" max="11267" width="11.4140625" style="51" customWidth="1"/>
    <col min="11268" max="11268" width="10.4140625" style="51" bestFit="1" customWidth="1"/>
    <col min="11269" max="11515" width="8.83203125" style="51"/>
    <col min="11516" max="11516" width="6.6640625" style="51" customWidth="1"/>
    <col min="11517" max="11517" width="13.08203125" style="51" customWidth="1"/>
    <col min="11518" max="11518" width="7.9140625" style="51" bestFit="1" customWidth="1"/>
    <col min="11519" max="11519" width="11.4140625" style="51" customWidth="1"/>
    <col min="11520" max="11520" width="10.4140625" style="51" bestFit="1" customWidth="1"/>
    <col min="11521" max="11523" width="11.4140625" style="51" customWidth="1"/>
    <col min="11524" max="11524" width="10.4140625" style="51" bestFit="1" customWidth="1"/>
    <col min="11525" max="11771" width="8.83203125" style="51"/>
    <col min="11772" max="11772" width="6.6640625" style="51" customWidth="1"/>
    <col min="11773" max="11773" width="13.08203125" style="51" customWidth="1"/>
    <col min="11774" max="11774" width="7.9140625" style="51" bestFit="1" customWidth="1"/>
    <col min="11775" max="11775" width="11.4140625" style="51" customWidth="1"/>
    <col min="11776" max="11776" width="10.4140625" style="51" bestFit="1" customWidth="1"/>
    <col min="11777" max="11779" width="11.4140625" style="51" customWidth="1"/>
    <col min="11780" max="11780" width="10.4140625" style="51" bestFit="1" customWidth="1"/>
    <col min="11781" max="12027" width="8.83203125" style="51"/>
    <col min="12028" max="12028" width="6.6640625" style="51" customWidth="1"/>
    <col min="12029" max="12029" width="13.08203125" style="51" customWidth="1"/>
    <col min="12030" max="12030" width="7.9140625" style="51" bestFit="1" customWidth="1"/>
    <col min="12031" max="12031" width="11.4140625" style="51" customWidth="1"/>
    <col min="12032" max="12032" width="10.4140625" style="51" bestFit="1" customWidth="1"/>
    <col min="12033" max="12035" width="11.4140625" style="51" customWidth="1"/>
    <col min="12036" max="12036" width="10.4140625" style="51" bestFit="1" customWidth="1"/>
    <col min="12037" max="12283" width="8.83203125" style="51"/>
    <col min="12284" max="12284" width="6.6640625" style="51" customWidth="1"/>
    <col min="12285" max="12285" width="13.08203125" style="51" customWidth="1"/>
    <col min="12286" max="12286" width="7.9140625" style="51" bestFit="1" customWidth="1"/>
    <col min="12287" max="12287" width="11.4140625" style="51" customWidth="1"/>
    <col min="12288" max="12288" width="10.4140625" style="51" bestFit="1" customWidth="1"/>
    <col min="12289" max="12291" width="11.4140625" style="51" customWidth="1"/>
    <col min="12292" max="12292" width="10.4140625" style="51" bestFit="1" customWidth="1"/>
    <col min="12293" max="12539" width="8.83203125" style="51"/>
    <col min="12540" max="12540" width="6.6640625" style="51" customWidth="1"/>
    <col min="12541" max="12541" width="13.08203125" style="51" customWidth="1"/>
    <col min="12542" max="12542" width="7.9140625" style="51" bestFit="1" customWidth="1"/>
    <col min="12543" max="12543" width="11.4140625" style="51" customWidth="1"/>
    <col min="12544" max="12544" width="10.4140625" style="51" bestFit="1" customWidth="1"/>
    <col min="12545" max="12547" width="11.4140625" style="51" customWidth="1"/>
    <col min="12548" max="12548" width="10.4140625" style="51" bestFit="1" customWidth="1"/>
    <col min="12549" max="12795" width="8.83203125" style="51"/>
    <col min="12796" max="12796" width="6.6640625" style="51" customWidth="1"/>
    <col min="12797" max="12797" width="13.08203125" style="51" customWidth="1"/>
    <col min="12798" max="12798" width="7.9140625" style="51" bestFit="1" customWidth="1"/>
    <col min="12799" max="12799" width="11.4140625" style="51" customWidth="1"/>
    <col min="12800" max="12800" width="10.4140625" style="51" bestFit="1" customWidth="1"/>
    <col min="12801" max="12803" width="11.4140625" style="51" customWidth="1"/>
    <col min="12804" max="12804" width="10.4140625" style="51" bestFit="1" customWidth="1"/>
    <col min="12805" max="13051" width="8.83203125" style="51"/>
    <col min="13052" max="13052" width="6.6640625" style="51" customWidth="1"/>
    <col min="13053" max="13053" width="13.08203125" style="51" customWidth="1"/>
    <col min="13054" max="13054" width="7.9140625" style="51" bestFit="1" customWidth="1"/>
    <col min="13055" max="13055" width="11.4140625" style="51" customWidth="1"/>
    <col min="13056" max="13056" width="10.4140625" style="51" bestFit="1" customWidth="1"/>
    <col min="13057" max="13059" width="11.4140625" style="51" customWidth="1"/>
    <col min="13060" max="13060" width="10.4140625" style="51" bestFit="1" customWidth="1"/>
    <col min="13061" max="13307" width="8.83203125" style="51"/>
    <col min="13308" max="13308" width="6.6640625" style="51" customWidth="1"/>
    <col min="13309" max="13309" width="13.08203125" style="51" customWidth="1"/>
    <col min="13310" max="13310" width="7.9140625" style="51" bestFit="1" customWidth="1"/>
    <col min="13311" max="13311" width="11.4140625" style="51" customWidth="1"/>
    <col min="13312" max="13312" width="10.4140625" style="51" bestFit="1" customWidth="1"/>
    <col min="13313" max="13315" width="11.4140625" style="51" customWidth="1"/>
    <col min="13316" max="13316" width="10.4140625" style="51" bestFit="1" customWidth="1"/>
    <col min="13317" max="13563" width="8.83203125" style="51"/>
    <col min="13564" max="13564" width="6.6640625" style="51" customWidth="1"/>
    <col min="13565" max="13565" width="13.08203125" style="51" customWidth="1"/>
    <col min="13566" max="13566" width="7.9140625" style="51" bestFit="1" customWidth="1"/>
    <col min="13567" max="13567" width="11.4140625" style="51" customWidth="1"/>
    <col min="13568" max="13568" width="10.4140625" style="51" bestFit="1" customWidth="1"/>
    <col min="13569" max="13571" width="11.4140625" style="51" customWidth="1"/>
    <col min="13572" max="13572" width="10.4140625" style="51" bestFit="1" customWidth="1"/>
    <col min="13573" max="13819" width="8.83203125" style="51"/>
    <col min="13820" max="13820" width="6.6640625" style="51" customWidth="1"/>
    <col min="13821" max="13821" width="13.08203125" style="51" customWidth="1"/>
    <col min="13822" max="13822" width="7.9140625" style="51" bestFit="1" customWidth="1"/>
    <col min="13823" max="13823" width="11.4140625" style="51" customWidth="1"/>
    <col min="13824" max="13824" width="10.4140625" style="51" bestFit="1" customWidth="1"/>
    <col min="13825" max="13827" width="11.4140625" style="51" customWidth="1"/>
    <col min="13828" max="13828" width="10.4140625" style="51" bestFit="1" customWidth="1"/>
    <col min="13829" max="14075" width="8.83203125" style="51"/>
    <col min="14076" max="14076" width="6.6640625" style="51" customWidth="1"/>
    <col min="14077" max="14077" width="13.08203125" style="51" customWidth="1"/>
    <col min="14078" max="14078" width="7.9140625" style="51" bestFit="1" customWidth="1"/>
    <col min="14079" max="14079" width="11.4140625" style="51" customWidth="1"/>
    <col min="14080" max="14080" width="10.4140625" style="51" bestFit="1" customWidth="1"/>
    <col min="14081" max="14083" width="11.4140625" style="51" customWidth="1"/>
    <col min="14084" max="14084" width="10.4140625" style="51" bestFit="1" customWidth="1"/>
    <col min="14085" max="14331" width="8.83203125" style="51"/>
    <col min="14332" max="14332" width="6.6640625" style="51" customWidth="1"/>
    <col min="14333" max="14333" width="13.08203125" style="51" customWidth="1"/>
    <col min="14334" max="14334" width="7.9140625" style="51" bestFit="1" customWidth="1"/>
    <col min="14335" max="14335" width="11.4140625" style="51" customWidth="1"/>
    <col min="14336" max="14336" width="10.4140625" style="51" bestFit="1" customWidth="1"/>
    <col min="14337" max="14339" width="11.4140625" style="51" customWidth="1"/>
    <col min="14340" max="14340" width="10.4140625" style="51" bestFit="1" customWidth="1"/>
    <col min="14341" max="14587" width="8.83203125" style="51"/>
    <col min="14588" max="14588" width="6.6640625" style="51" customWidth="1"/>
    <col min="14589" max="14589" width="13.08203125" style="51" customWidth="1"/>
    <col min="14590" max="14590" width="7.9140625" style="51" bestFit="1" customWidth="1"/>
    <col min="14591" max="14591" width="11.4140625" style="51" customWidth="1"/>
    <col min="14592" max="14592" width="10.4140625" style="51" bestFit="1" customWidth="1"/>
    <col min="14593" max="14595" width="11.4140625" style="51" customWidth="1"/>
    <col min="14596" max="14596" width="10.4140625" style="51" bestFit="1" customWidth="1"/>
    <col min="14597" max="14843" width="8.83203125" style="51"/>
    <col min="14844" max="14844" width="6.6640625" style="51" customWidth="1"/>
    <col min="14845" max="14845" width="13.08203125" style="51" customWidth="1"/>
    <col min="14846" max="14846" width="7.9140625" style="51" bestFit="1" customWidth="1"/>
    <col min="14847" max="14847" width="11.4140625" style="51" customWidth="1"/>
    <col min="14848" max="14848" width="10.4140625" style="51" bestFit="1" customWidth="1"/>
    <col min="14849" max="14851" width="11.4140625" style="51" customWidth="1"/>
    <col min="14852" max="14852" width="10.4140625" style="51" bestFit="1" customWidth="1"/>
    <col min="14853" max="15099" width="8.83203125" style="51"/>
    <col min="15100" max="15100" width="6.6640625" style="51" customWidth="1"/>
    <col min="15101" max="15101" width="13.08203125" style="51" customWidth="1"/>
    <col min="15102" max="15102" width="7.9140625" style="51" bestFit="1" customWidth="1"/>
    <col min="15103" max="15103" width="11.4140625" style="51" customWidth="1"/>
    <col min="15104" max="15104" width="10.4140625" style="51" bestFit="1" customWidth="1"/>
    <col min="15105" max="15107" width="11.4140625" style="51" customWidth="1"/>
    <col min="15108" max="15108" width="10.4140625" style="51" bestFit="1" customWidth="1"/>
    <col min="15109" max="15355" width="8.83203125" style="51"/>
    <col min="15356" max="15356" width="6.6640625" style="51" customWidth="1"/>
    <col min="15357" max="15357" width="13.08203125" style="51" customWidth="1"/>
    <col min="15358" max="15358" width="7.9140625" style="51" bestFit="1" customWidth="1"/>
    <col min="15359" max="15359" width="11.4140625" style="51" customWidth="1"/>
    <col min="15360" max="15360" width="10.4140625" style="51" bestFit="1" customWidth="1"/>
    <col min="15361" max="15363" width="11.4140625" style="51" customWidth="1"/>
    <col min="15364" max="15364" width="10.4140625" style="51" bestFit="1" customWidth="1"/>
    <col min="15365" max="15611" width="8.83203125" style="51"/>
    <col min="15612" max="15612" width="6.6640625" style="51" customWidth="1"/>
    <col min="15613" max="15613" width="13.08203125" style="51" customWidth="1"/>
    <col min="15614" max="15614" width="7.9140625" style="51" bestFit="1" customWidth="1"/>
    <col min="15615" max="15615" width="11.4140625" style="51" customWidth="1"/>
    <col min="15616" max="15616" width="10.4140625" style="51" bestFit="1" customWidth="1"/>
    <col min="15617" max="15619" width="11.4140625" style="51" customWidth="1"/>
    <col min="15620" max="15620" width="10.4140625" style="51" bestFit="1" customWidth="1"/>
    <col min="15621" max="15867" width="8.83203125" style="51"/>
    <col min="15868" max="15868" width="6.6640625" style="51" customWidth="1"/>
    <col min="15869" max="15869" width="13.08203125" style="51" customWidth="1"/>
    <col min="15870" max="15870" width="7.9140625" style="51" bestFit="1" customWidth="1"/>
    <col min="15871" max="15871" width="11.4140625" style="51" customWidth="1"/>
    <col min="15872" max="15872" width="10.4140625" style="51" bestFit="1" customWidth="1"/>
    <col min="15873" max="15875" width="11.4140625" style="51" customWidth="1"/>
    <col min="15876" max="15876" width="10.4140625" style="51" bestFit="1" customWidth="1"/>
    <col min="15877" max="16123" width="8.83203125" style="51"/>
    <col min="16124" max="16124" width="6.6640625" style="51" customWidth="1"/>
    <col min="16125" max="16125" width="13.08203125" style="51" customWidth="1"/>
    <col min="16126" max="16126" width="7.9140625" style="51" bestFit="1" customWidth="1"/>
    <col min="16127" max="16127" width="11.4140625" style="51" customWidth="1"/>
    <col min="16128" max="16128" width="10.4140625" style="51" bestFit="1" customWidth="1"/>
    <col min="16129" max="16131" width="11.4140625" style="51" customWidth="1"/>
    <col min="16132" max="16132" width="10.4140625" style="51" bestFit="1" customWidth="1"/>
    <col min="16133" max="16384" width="8.83203125" style="51"/>
  </cols>
  <sheetData>
    <row r="1" spans="1:24" s="37" customFormat="1" x14ac:dyDescent="0.4">
      <c r="A1" s="32" t="s">
        <v>621</v>
      </c>
      <c r="B1" s="32" t="s">
        <v>622</v>
      </c>
      <c r="C1" s="33" t="s">
        <v>623</v>
      </c>
      <c r="D1" s="33" t="s">
        <v>624</v>
      </c>
      <c r="E1" s="33" t="s">
        <v>625</v>
      </c>
      <c r="F1" s="33" t="s">
        <v>626</v>
      </c>
      <c r="G1" s="34" t="s">
        <v>627</v>
      </c>
      <c r="H1" s="33" t="s">
        <v>628</v>
      </c>
      <c r="I1" s="35" t="s">
        <v>629</v>
      </c>
      <c r="J1" s="33" t="s">
        <v>630</v>
      </c>
      <c r="K1" s="36" t="s">
        <v>631</v>
      </c>
      <c r="L1" s="37" t="str">
        <f>A1</f>
        <v>ID</v>
      </c>
      <c r="M1" s="37" t="str">
        <f>B1</f>
        <v>Code_dpt</v>
      </c>
      <c r="O1" s="38" t="s">
        <v>623</v>
      </c>
      <c r="P1" s="38" t="s">
        <v>624</v>
      </c>
      <c r="Q1" s="39" t="s">
        <v>621</v>
      </c>
      <c r="R1" s="40" t="s">
        <v>622</v>
      </c>
      <c r="U1" s="39" t="s">
        <v>621</v>
      </c>
      <c r="V1" s="33" t="s">
        <v>624</v>
      </c>
      <c r="W1" s="41" t="s">
        <v>622</v>
      </c>
      <c r="X1" s="33" t="s">
        <v>623</v>
      </c>
    </row>
    <row r="2" spans="1:24" x14ac:dyDescent="0.4">
      <c r="A2" s="42" t="str">
        <f>B2&amp;TEXT(ROW()-1,"000")</f>
        <v>A001</v>
      </c>
      <c r="B2" s="42" t="str">
        <f>VLOOKUP(C2,[1]item!B:C,2,0)</f>
        <v>A</v>
      </c>
      <c r="C2" s="43" t="s">
        <v>632</v>
      </c>
      <c r="D2" s="44" t="s">
        <v>633</v>
      </c>
      <c r="E2" s="45" t="s">
        <v>634</v>
      </c>
      <c r="F2" s="46">
        <v>65001</v>
      </c>
      <c r="G2" s="47" t="s">
        <v>635</v>
      </c>
      <c r="H2" s="46">
        <v>220</v>
      </c>
      <c r="I2" s="48">
        <v>35796</v>
      </c>
      <c r="J2" s="49"/>
      <c r="K2" s="50" t="s">
        <v>636</v>
      </c>
      <c r="L2" s="37" t="str">
        <f t="shared" ref="L2:M54" si="0">A2</f>
        <v>A001</v>
      </c>
      <c r="M2" s="37" t="str">
        <f t="shared" si="0"/>
        <v>A</v>
      </c>
      <c r="O2" s="52" t="s">
        <v>632</v>
      </c>
      <c r="P2" s="53" t="s">
        <v>633</v>
      </c>
      <c r="Q2" s="54" t="str">
        <f>VLOOKUP(P2,D:M,9,0)</f>
        <v>A001</v>
      </c>
      <c r="R2" s="51" t="str">
        <f>VLOOKUP(P2,D:M,10,0)</f>
        <v>A</v>
      </c>
      <c r="U2" s="55" t="s">
        <v>637</v>
      </c>
      <c r="V2" s="54" t="str">
        <f>_xlfn.XLOOKUP(U2,A:A,D:D)</f>
        <v>顏嗣鈞</v>
      </c>
      <c r="W2" s="54" t="str">
        <f>_xlfn.XLOOKUP(U2,A:A,B:B)</f>
        <v>A</v>
      </c>
      <c r="X2" s="51" t="str">
        <f>_xlfn.XLOOKUP(U2,A:A,C:C)</f>
        <v>行政室</v>
      </c>
    </row>
    <row r="3" spans="1:24" x14ac:dyDescent="0.4">
      <c r="A3" s="42" t="str">
        <f t="shared" ref="A3:A54" si="1">B3&amp;TEXT(ROW()-1,"000")</f>
        <v>A002</v>
      </c>
      <c r="B3" s="42" t="str">
        <f>VLOOKUP(C3,[1]item!B:C,2,0)</f>
        <v>A</v>
      </c>
      <c r="C3" s="43" t="s">
        <v>632</v>
      </c>
      <c r="D3" s="56" t="s">
        <v>640</v>
      </c>
      <c r="E3" s="57" t="s">
        <v>641</v>
      </c>
      <c r="F3" s="56">
        <v>65050</v>
      </c>
      <c r="G3" s="58" t="s">
        <v>642</v>
      </c>
      <c r="H3" s="56">
        <v>216</v>
      </c>
      <c r="I3" s="48">
        <v>35827</v>
      </c>
      <c r="J3" s="56"/>
      <c r="K3" s="50" t="s">
        <v>643</v>
      </c>
      <c r="L3" s="37" t="str">
        <f t="shared" si="0"/>
        <v>A002</v>
      </c>
      <c r="M3" s="37" t="str">
        <f t="shared" si="0"/>
        <v>A</v>
      </c>
    </row>
    <row r="4" spans="1:24" x14ac:dyDescent="0.4">
      <c r="A4" s="42" t="str">
        <f t="shared" si="1"/>
        <v>A003</v>
      </c>
      <c r="B4" s="42" t="str">
        <f>VLOOKUP(C4,[1]item!B:C,2,0)</f>
        <v>A</v>
      </c>
      <c r="C4" s="43" t="s">
        <v>632</v>
      </c>
      <c r="D4" s="59" t="s">
        <v>644</v>
      </c>
      <c r="E4" s="60" t="s">
        <v>645</v>
      </c>
      <c r="F4" s="59">
        <v>65046</v>
      </c>
      <c r="G4" s="58" t="s">
        <v>646</v>
      </c>
      <c r="H4" s="56">
        <v>216</v>
      </c>
      <c r="I4" s="48">
        <v>35855</v>
      </c>
      <c r="J4" s="56"/>
      <c r="K4" s="50" t="s">
        <v>647</v>
      </c>
      <c r="L4" s="37" t="str">
        <f t="shared" si="0"/>
        <v>A003</v>
      </c>
      <c r="M4" s="37" t="str">
        <f t="shared" si="0"/>
        <v>A</v>
      </c>
    </row>
    <row r="5" spans="1:24" x14ac:dyDescent="0.4">
      <c r="A5" s="42" t="str">
        <f t="shared" si="1"/>
        <v>A004</v>
      </c>
      <c r="B5" s="42" t="str">
        <f>VLOOKUP(C5,[1]item!B:C,2,0)</f>
        <v>A</v>
      </c>
      <c r="C5" s="43" t="s">
        <v>632</v>
      </c>
      <c r="D5" s="56" t="s">
        <v>648</v>
      </c>
      <c r="E5" s="60" t="s">
        <v>649</v>
      </c>
      <c r="F5" s="56">
        <v>65048</v>
      </c>
      <c r="G5" s="58" t="s">
        <v>650</v>
      </c>
      <c r="H5" s="56">
        <v>216</v>
      </c>
      <c r="I5" s="48">
        <v>35886</v>
      </c>
      <c r="J5" s="56"/>
      <c r="K5" s="50" t="s">
        <v>651</v>
      </c>
      <c r="L5" s="37" t="str">
        <f t="shared" si="0"/>
        <v>A004</v>
      </c>
      <c r="M5" s="37" t="str">
        <f t="shared" si="0"/>
        <v>A</v>
      </c>
    </row>
    <row r="6" spans="1:24" ht="16.75" x14ac:dyDescent="0.45">
      <c r="A6" s="42" t="str">
        <f t="shared" si="1"/>
        <v>A005</v>
      </c>
      <c r="B6" s="102" t="str">
        <f>VLOOKUP(C6,[1]item!B:C,2,0)</f>
        <v>A</v>
      </c>
      <c r="C6" s="43" t="s">
        <v>632</v>
      </c>
      <c r="D6" s="61" t="s">
        <v>652</v>
      </c>
      <c r="E6" s="60" t="s">
        <v>653</v>
      </c>
      <c r="F6" s="62">
        <v>65049</v>
      </c>
      <c r="G6" s="63" t="s">
        <v>654</v>
      </c>
      <c r="H6" s="62">
        <v>216</v>
      </c>
      <c r="I6" s="48">
        <v>35916</v>
      </c>
      <c r="J6" s="62"/>
      <c r="K6" s="50" t="s">
        <v>655</v>
      </c>
      <c r="L6" s="37" t="str">
        <f t="shared" si="0"/>
        <v>A005</v>
      </c>
      <c r="M6" s="37" t="str">
        <f t="shared" si="0"/>
        <v>A</v>
      </c>
      <c r="U6" s="64" t="s">
        <v>656</v>
      </c>
      <c r="V6" s="54" t="str">
        <f>_xlfn.XLOOKUP(U6,A:A,D:D,"找不到")</f>
        <v>找不到</v>
      </c>
    </row>
    <row r="7" spans="1:24" x14ac:dyDescent="0.4">
      <c r="A7" s="42" t="str">
        <f t="shared" si="1"/>
        <v>B006</v>
      </c>
      <c r="B7" s="42" t="str">
        <f>VLOOKUP(C7,[1]item!B:C,2,0)</f>
        <v>B</v>
      </c>
      <c r="C7" s="43" t="s">
        <v>658</v>
      </c>
      <c r="D7" s="56" t="s">
        <v>659</v>
      </c>
      <c r="E7" s="60" t="s">
        <v>660</v>
      </c>
      <c r="F7" s="62">
        <v>65005</v>
      </c>
      <c r="G7" s="65" t="s">
        <v>661</v>
      </c>
      <c r="H7" s="62">
        <v>209</v>
      </c>
      <c r="I7" s="48">
        <v>35947</v>
      </c>
      <c r="J7" s="62"/>
      <c r="K7" s="50" t="s">
        <v>662</v>
      </c>
      <c r="L7" s="37" t="str">
        <f t="shared" si="0"/>
        <v>B006</v>
      </c>
      <c r="M7" s="37" t="str">
        <f t="shared" si="0"/>
        <v>B</v>
      </c>
    </row>
    <row r="8" spans="1:24" ht="15.9" thickBot="1" x14ac:dyDescent="0.45">
      <c r="A8" s="42" t="str">
        <f t="shared" si="1"/>
        <v>B007</v>
      </c>
      <c r="B8" s="42" t="str">
        <f>VLOOKUP(C8,[1]item!B:C,2,0)</f>
        <v>B</v>
      </c>
      <c r="C8" s="43" t="s">
        <v>658</v>
      </c>
      <c r="D8" s="44" t="s">
        <v>663</v>
      </c>
      <c r="E8" s="66" t="s">
        <v>664</v>
      </c>
      <c r="F8" s="44">
        <v>65047</v>
      </c>
      <c r="G8" s="67" t="s">
        <v>665</v>
      </c>
      <c r="H8" s="46">
        <v>216</v>
      </c>
      <c r="I8" s="48">
        <v>35977</v>
      </c>
      <c r="J8" s="46"/>
      <c r="K8" s="50" t="s">
        <v>666</v>
      </c>
      <c r="L8" s="37" t="str">
        <f t="shared" si="0"/>
        <v>B007</v>
      </c>
      <c r="M8" s="37" t="str">
        <f t="shared" si="0"/>
        <v>B</v>
      </c>
    </row>
    <row r="9" spans="1:24" ht="43.75" x14ac:dyDescent="0.4">
      <c r="A9" s="42" t="str">
        <f t="shared" si="1"/>
        <v>B008</v>
      </c>
      <c r="B9" s="42" t="str">
        <f>VLOOKUP(C9,[1]item!B:C,2,0)</f>
        <v>B</v>
      </c>
      <c r="C9" s="43" t="s">
        <v>658</v>
      </c>
      <c r="D9" s="56" t="s">
        <v>667</v>
      </c>
      <c r="E9" s="60" t="s">
        <v>641</v>
      </c>
      <c r="F9" s="56">
        <v>65031</v>
      </c>
      <c r="G9" s="58" t="s">
        <v>668</v>
      </c>
      <c r="H9" s="56">
        <v>318</v>
      </c>
      <c r="I9" s="48">
        <v>36008</v>
      </c>
      <c r="J9" s="56"/>
      <c r="K9" s="50" t="s">
        <v>669</v>
      </c>
      <c r="L9" s="37" t="str">
        <f t="shared" si="0"/>
        <v>B008</v>
      </c>
      <c r="M9" s="37" t="str">
        <f t="shared" si="0"/>
        <v>B</v>
      </c>
      <c r="S9" s="103" t="s">
        <v>811</v>
      </c>
      <c r="U9" s="104" t="s">
        <v>812</v>
      </c>
      <c r="V9" s="105" t="s">
        <v>813</v>
      </c>
    </row>
    <row r="10" spans="1:24" x14ac:dyDescent="0.4">
      <c r="A10" s="42" t="str">
        <f t="shared" si="1"/>
        <v>B009</v>
      </c>
      <c r="B10" s="42" t="str">
        <f>VLOOKUP(C10,[1]item!B:C,2,0)</f>
        <v>B</v>
      </c>
      <c r="C10" s="43" t="s">
        <v>658</v>
      </c>
      <c r="D10" s="56" t="s">
        <v>670</v>
      </c>
      <c r="E10" s="60" t="s">
        <v>641</v>
      </c>
      <c r="F10" s="56">
        <v>55448</v>
      </c>
      <c r="G10" s="58" t="s">
        <v>671</v>
      </c>
      <c r="H10" s="56">
        <v>318</v>
      </c>
      <c r="I10" s="48">
        <v>36039</v>
      </c>
      <c r="J10" s="68"/>
      <c r="K10" s="50" t="s">
        <v>672</v>
      </c>
      <c r="L10" s="37" t="str">
        <f t="shared" si="0"/>
        <v>B009</v>
      </c>
      <c r="M10" s="37" t="str">
        <f t="shared" si="0"/>
        <v>B</v>
      </c>
      <c r="O10" s="40" t="s">
        <v>622</v>
      </c>
      <c r="P10" s="39" t="s">
        <v>621</v>
      </c>
      <c r="Q10" s="38" t="s">
        <v>624</v>
      </c>
      <c r="R10" s="106" t="s">
        <v>623</v>
      </c>
      <c r="S10" s="35" t="s">
        <v>629</v>
      </c>
      <c r="U10" s="38" t="s">
        <v>624</v>
      </c>
      <c r="V10" s="39" t="s">
        <v>621</v>
      </c>
    </row>
    <row r="11" spans="1:24" ht="45" x14ac:dyDescent="0.4">
      <c r="A11" s="42" t="str">
        <f t="shared" si="1"/>
        <v>C010</v>
      </c>
      <c r="B11" s="42" t="str">
        <f>VLOOKUP(C11,[1]item!B:C,2,0)</f>
        <v>C</v>
      </c>
      <c r="C11" s="43" t="s">
        <v>673</v>
      </c>
      <c r="D11" s="44" t="s">
        <v>674</v>
      </c>
      <c r="E11" s="45" t="s">
        <v>660</v>
      </c>
      <c r="F11" s="46">
        <v>65004</v>
      </c>
      <c r="G11" s="69" t="s">
        <v>675</v>
      </c>
      <c r="H11" s="46">
        <v>213</v>
      </c>
      <c r="I11" s="48">
        <v>36069</v>
      </c>
      <c r="J11" s="46"/>
      <c r="K11" s="50" t="s">
        <v>676</v>
      </c>
      <c r="L11" s="37" t="str">
        <f t="shared" si="0"/>
        <v>C010</v>
      </c>
      <c r="M11" s="37" t="str">
        <f t="shared" si="0"/>
        <v>C</v>
      </c>
      <c r="O11" s="107" t="s">
        <v>814</v>
      </c>
      <c r="P11" s="51" t="str">
        <f t="array" ref="P11">_xlfn.XLOOKUP($O11,B2:B54,_xlfn.XLOOKUP(P10,$C$1:$M$1,C2:M54))</f>
        <v>A001</v>
      </c>
      <c r="Q11" s="51" t="str">
        <f t="array" ref="Q11">_xlfn.XLOOKUP($O11,B2:B54,_xlfn.XLOOKUP(Q10,$C$1:$M$1,C2:M54))</f>
        <v>顏嗣鈞</v>
      </c>
      <c r="R11" s="108" t="str">
        <f t="array" ref="R11">_xlfn.XLOOKUP($O11,B:B,_xlfn.XLOOKUP(R10,$A$1:$M$1,A:M))</f>
        <v>行政室</v>
      </c>
      <c r="S11" s="109">
        <f t="array" ref="S11">_xlfn.XLOOKUP($O11,B:B,_xlfn.XLOOKUP(S10,$A$1:$M$1,A:M),"找不到",,-1)</f>
        <v>35916</v>
      </c>
      <c r="U11" s="110" t="s">
        <v>815</v>
      </c>
      <c r="V11" s="51" t="str">
        <f>_xlfn.XLOOKUP(U11,D:D,A:A,,2)</f>
        <v>C012</v>
      </c>
    </row>
    <row r="12" spans="1:24" x14ac:dyDescent="0.4">
      <c r="A12" s="42" t="str">
        <f t="shared" si="1"/>
        <v>C011</v>
      </c>
      <c r="B12" s="42" t="str">
        <f>VLOOKUP(C12,[1]item!B:C,2,0)</f>
        <v>C</v>
      </c>
      <c r="C12" s="43" t="s">
        <v>673</v>
      </c>
      <c r="D12" s="56" t="s">
        <v>677</v>
      </c>
      <c r="E12" s="70" t="s">
        <v>839</v>
      </c>
      <c r="F12" s="56">
        <v>65026</v>
      </c>
      <c r="G12" s="58" t="s">
        <v>678</v>
      </c>
      <c r="H12" s="56">
        <v>403</v>
      </c>
      <c r="I12" s="48">
        <v>36100</v>
      </c>
      <c r="J12" s="56"/>
      <c r="K12" s="50" t="s">
        <v>679</v>
      </c>
      <c r="L12" s="37" t="str">
        <f t="shared" si="0"/>
        <v>C011</v>
      </c>
      <c r="M12" s="37" t="str">
        <f t="shared" si="0"/>
        <v>C</v>
      </c>
    </row>
    <row r="13" spans="1:24" x14ac:dyDescent="0.4">
      <c r="A13" s="42" t="str">
        <f t="shared" si="1"/>
        <v>C012</v>
      </c>
      <c r="B13" s="42" t="str">
        <f>VLOOKUP(C13,[1]item!B:C,2,0)</f>
        <v>C</v>
      </c>
      <c r="C13" s="43" t="s">
        <v>673</v>
      </c>
      <c r="D13" s="56" t="s">
        <v>680</v>
      </c>
      <c r="E13" s="70" t="s">
        <v>839</v>
      </c>
      <c r="F13" s="56">
        <v>65034</v>
      </c>
      <c r="G13" s="58" t="s">
        <v>681</v>
      </c>
      <c r="H13" s="56">
        <v>301</v>
      </c>
      <c r="I13" s="48">
        <v>36130</v>
      </c>
      <c r="J13" s="56"/>
      <c r="K13" s="50" t="s">
        <v>682</v>
      </c>
      <c r="L13" s="37" t="str">
        <f t="shared" si="0"/>
        <v>C012</v>
      </c>
      <c r="M13" s="37" t="str">
        <f t="shared" si="0"/>
        <v>C</v>
      </c>
    </row>
    <row r="14" spans="1:24" x14ac:dyDescent="0.4">
      <c r="A14" s="42" t="str">
        <f t="shared" si="1"/>
        <v>C013</v>
      </c>
      <c r="B14" s="42" t="str">
        <f>VLOOKUP(C14,[1]item!B:C,2,0)</f>
        <v>C</v>
      </c>
      <c r="C14" s="43" t="s">
        <v>673</v>
      </c>
      <c r="D14" s="71" t="s">
        <v>683</v>
      </c>
      <c r="E14" s="70" t="s">
        <v>641</v>
      </c>
      <c r="F14" s="59">
        <v>65059</v>
      </c>
      <c r="G14" s="58" t="s">
        <v>684</v>
      </c>
      <c r="H14" s="56">
        <v>109</v>
      </c>
      <c r="I14" s="48">
        <v>36161</v>
      </c>
      <c r="J14" s="72"/>
      <c r="K14" s="50" t="s">
        <v>685</v>
      </c>
      <c r="L14" s="37" t="str">
        <f t="shared" si="0"/>
        <v>C013</v>
      </c>
      <c r="M14" s="37" t="str">
        <f t="shared" si="0"/>
        <v>C</v>
      </c>
    </row>
    <row r="15" spans="1:24" ht="16.75" x14ac:dyDescent="0.45">
      <c r="A15" s="42" t="str">
        <f t="shared" si="1"/>
        <v>C014</v>
      </c>
      <c r="B15" s="42" t="str">
        <f>VLOOKUP(C15,[1]item!B:C,2,0)</f>
        <v>C</v>
      </c>
      <c r="C15" s="43" t="s">
        <v>673</v>
      </c>
      <c r="D15" s="56" t="s">
        <v>686</v>
      </c>
      <c r="E15" s="60" t="s">
        <v>641</v>
      </c>
      <c r="F15" s="56">
        <v>65016</v>
      </c>
      <c r="G15" s="73" t="s">
        <v>687</v>
      </c>
      <c r="H15" s="56">
        <v>109</v>
      </c>
      <c r="I15" s="48">
        <v>36192</v>
      </c>
      <c r="J15" s="56"/>
      <c r="K15" s="50" t="s">
        <v>688</v>
      </c>
      <c r="L15" s="37" t="str">
        <f t="shared" si="0"/>
        <v>C014</v>
      </c>
      <c r="M15" s="37" t="str">
        <f t="shared" si="0"/>
        <v>C</v>
      </c>
      <c r="O15" s="40" t="s">
        <v>622</v>
      </c>
      <c r="P15" s="39" t="s">
        <v>621</v>
      </c>
      <c r="Q15" s="38" t="s">
        <v>624</v>
      </c>
      <c r="R15" s="106" t="s">
        <v>623</v>
      </c>
    </row>
    <row r="16" spans="1:24" x14ac:dyDescent="0.4">
      <c r="A16" s="42" t="str">
        <f t="shared" si="1"/>
        <v>C015</v>
      </c>
      <c r="B16" s="42" t="str">
        <f>VLOOKUP(C16,[1]item!B:C,2,0)</f>
        <v>C</v>
      </c>
      <c r="C16" s="43" t="s">
        <v>673</v>
      </c>
      <c r="D16" s="59" t="s">
        <v>689</v>
      </c>
      <c r="E16" s="60" t="s">
        <v>641</v>
      </c>
      <c r="F16" s="74">
        <v>65519</v>
      </c>
      <c r="G16" s="58" t="s">
        <v>690</v>
      </c>
      <c r="H16" s="56">
        <v>315</v>
      </c>
      <c r="I16" s="48">
        <v>36220</v>
      </c>
      <c r="J16" s="56"/>
      <c r="K16" s="50" t="s">
        <v>691</v>
      </c>
      <c r="L16" s="37" t="str">
        <f t="shared" si="0"/>
        <v>C015</v>
      </c>
      <c r="M16" s="37" t="str">
        <f t="shared" si="0"/>
        <v>C</v>
      </c>
      <c r="O16" s="107" t="s">
        <v>814</v>
      </c>
      <c r="P16" s="51" t="str">
        <f t="array" ref="P16">_xlfn.XLOOKUP($O11,B2:B54,_xlfn.XLOOKUP(P10,$C$1:$M$1,C2:M54))</f>
        <v>A001</v>
      </c>
      <c r="Q16" s="51" t="str">
        <f t="array" ref="Q16">_xlfn.XLOOKUP($O11,B2:B54,_xlfn.XLOOKUP(Q10,$C$1:$M$1,C2:M54))</f>
        <v>顏嗣鈞</v>
      </c>
      <c r="R16" s="108" t="str">
        <f t="array" ref="R16">_xlfn.XLOOKUP($O16,B:B,_xlfn.XLOOKUP(R15,$A$1:$M$1,A:M))</f>
        <v>行政室</v>
      </c>
    </row>
    <row r="17" spans="1:13" x14ac:dyDescent="0.4">
      <c r="A17" s="42" t="str">
        <f t="shared" si="1"/>
        <v>C016</v>
      </c>
      <c r="B17" s="42" t="str">
        <f>VLOOKUP(C17,[1]item!B:C,2,0)</f>
        <v>C</v>
      </c>
      <c r="C17" s="43" t="s">
        <v>673</v>
      </c>
      <c r="D17" s="56" t="s">
        <v>692</v>
      </c>
      <c r="E17" s="60" t="s">
        <v>641</v>
      </c>
      <c r="F17" s="74">
        <v>69869</v>
      </c>
      <c r="G17" s="58" t="s">
        <v>693</v>
      </c>
      <c r="H17" s="56">
        <v>316</v>
      </c>
      <c r="I17" s="48">
        <v>36251</v>
      </c>
      <c r="J17" s="56"/>
      <c r="K17" s="50" t="s">
        <v>694</v>
      </c>
      <c r="L17" s="37" t="str">
        <f t="shared" si="0"/>
        <v>C016</v>
      </c>
      <c r="M17" s="37" t="str">
        <f t="shared" si="0"/>
        <v>C</v>
      </c>
    </row>
    <row r="18" spans="1:13" x14ac:dyDescent="0.4">
      <c r="A18" s="42" t="str">
        <f t="shared" si="1"/>
        <v>C017</v>
      </c>
      <c r="B18" s="42" t="str">
        <f>VLOOKUP(C18,[1]item!B:C,2,0)</f>
        <v>C</v>
      </c>
      <c r="C18" s="43" t="s">
        <v>673</v>
      </c>
      <c r="D18" s="71" t="s">
        <v>695</v>
      </c>
      <c r="E18" s="75" t="s">
        <v>641</v>
      </c>
      <c r="F18" s="74">
        <v>65522</v>
      </c>
      <c r="G18" s="76" t="s">
        <v>696</v>
      </c>
      <c r="H18" s="71">
        <v>316</v>
      </c>
      <c r="I18" s="48">
        <v>36281</v>
      </c>
      <c r="J18" s="72"/>
      <c r="K18" s="50" t="s">
        <v>697</v>
      </c>
      <c r="L18" s="37" t="str">
        <f t="shared" si="0"/>
        <v>C017</v>
      </c>
      <c r="M18" s="37" t="str">
        <f t="shared" si="0"/>
        <v>C</v>
      </c>
    </row>
    <row r="19" spans="1:13" x14ac:dyDescent="0.4">
      <c r="A19" s="42" t="str">
        <f t="shared" si="1"/>
        <v>C018</v>
      </c>
      <c r="B19" s="42" t="str">
        <f>VLOOKUP(C19,[1]item!B:C,2,0)</f>
        <v>C</v>
      </c>
      <c r="C19" s="43" t="s">
        <v>673</v>
      </c>
      <c r="D19" s="56" t="s">
        <v>698</v>
      </c>
      <c r="E19" s="60" t="s">
        <v>641</v>
      </c>
      <c r="F19" s="77">
        <v>65512</v>
      </c>
      <c r="G19" s="78" t="s">
        <v>699</v>
      </c>
      <c r="H19" s="56">
        <v>316</v>
      </c>
      <c r="I19" s="48">
        <v>36312</v>
      </c>
      <c r="J19" s="56"/>
      <c r="K19" s="50" t="s">
        <v>700</v>
      </c>
      <c r="L19" s="37" t="str">
        <f t="shared" si="0"/>
        <v>C018</v>
      </c>
      <c r="M19" s="37" t="str">
        <f t="shared" si="0"/>
        <v>C</v>
      </c>
    </row>
    <row r="20" spans="1:13" x14ac:dyDescent="0.4">
      <c r="A20" s="42" t="str">
        <f t="shared" si="1"/>
        <v>C019</v>
      </c>
      <c r="B20" s="42" t="str">
        <f>VLOOKUP(C20,[1]item!B:C,2,0)</f>
        <v>C</v>
      </c>
      <c r="C20" s="43" t="s">
        <v>673</v>
      </c>
      <c r="D20" s="79" t="s">
        <v>701</v>
      </c>
      <c r="E20" s="75" t="s">
        <v>641</v>
      </c>
      <c r="F20" s="80">
        <v>65510</v>
      </c>
      <c r="G20" s="81" t="s">
        <v>702</v>
      </c>
      <c r="H20" s="80">
        <v>316</v>
      </c>
      <c r="I20" s="48">
        <v>36342</v>
      </c>
      <c r="J20" s="72"/>
      <c r="K20" s="50" t="s">
        <v>703</v>
      </c>
      <c r="L20" s="37" t="str">
        <f t="shared" si="0"/>
        <v>C019</v>
      </c>
      <c r="M20" s="37" t="str">
        <f t="shared" si="0"/>
        <v>C</v>
      </c>
    </row>
    <row r="21" spans="1:13" x14ac:dyDescent="0.4">
      <c r="A21" s="42" t="str">
        <f t="shared" si="1"/>
        <v>C020</v>
      </c>
      <c r="B21" s="42" t="str">
        <f>VLOOKUP(C21,[1]item!B:C,2,0)</f>
        <v>C</v>
      </c>
      <c r="C21" s="43" t="s">
        <v>673</v>
      </c>
      <c r="D21" s="56" t="s">
        <v>704</v>
      </c>
      <c r="E21" s="60" t="s">
        <v>653</v>
      </c>
      <c r="F21" s="56">
        <v>65022</v>
      </c>
      <c r="G21" s="58" t="s">
        <v>705</v>
      </c>
      <c r="H21" s="56">
        <v>109</v>
      </c>
      <c r="I21" s="48">
        <v>36373</v>
      </c>
      <c r="J21" s="56"/>
      <c r="K21" s="50" t="s">
        <v>706</v>
      </c>
      <c r="L21" s="37" t="str">
        <f t="shared" si="0"/>
        <v>C020</v>
      </c>
      <c r="M21" s="37" t="str">
        <f t="shared" si="0"/>
        <v>C</v>
      </c>
    </row>
    <row r="22" spans="1:13" x14ac:dyDescent="0.4">
      <c r="A22" s="42" t="str">
        <f t="shared" si="1"/>
        <v>D021</v>
      </c>
      <c r="B22" s="42" t="str">
        <f>VLOOKUP(C22,[1]item!B:C,2,0)</f>
        <v>D</v>
      </c>
      <c r="C22" s="43" t="s">
        <v>707</v>
      </c>
      <c r="D22" s="44" t="s">
        <v>708</v>
      </c>
      <c r="E22" s="45" t="s">
        <v>660</v>
      </c>
      <c r="F22" s="44">
        <v>65002</v>
      </c>
      <c r="G22" s="81" t="s">
        <v>709</v>
      </c>
      <c r="H22" s="44">
        <v>217</v>
      </c>
      <c r="I22" s="48">
        <v>36404</v>
      </c>
      <c r="J22" s="44"/>
      <c r="K22" s="50" t="s">
        <v>710</v>
      </c>
      <c r="L22" s="37" t="str">
        <f t="shared" si="0"/>
        <v>D021</v>
      </c>
      <c r="M22" s="37" t="str">
        <f t="shared" si="0"/>
        <v>D</v>
      </c>
    </row>
    <row r="23" spans="1:13" x14ac:dyDescent="0.4">
      <c r="A23" s="42" t="str">
        <f t="shared" si="1"/>
        <v>D022</v>
      </c>
      <c r="B23" s="42" t="str">
        <f>VLOOKUP(C23,[1]item!B:C,2,0)</f>
        <v>D</v>
      </c>
      <c r="C23" s="43" t="s">
        <v>707</v>
      </c>
      <c r="D23" s="56" t="s">
        <v>711</v>
      </c>
      <c r="E23" s="60" t="s">
        <v>712</v>
      </c>
      <c r="F23" s="56">
        <v>65006</v>
      </c>
      <c r="G23" s="58" t="s">
        <v>713</v>
      </c>
      <c r="H23" s="56">
        <v>411</v>
      </c>
      <c r="I23" s="48">
        <v>36434</v>
      </c>
      <c r="J23" s="56"/>
      <c r="K23" s="50" t="s">
        <v>714</v>
      </c>
      <c r="L23" s="37" t="str">
        <f t="shared" si="0"/>
        <v>D022</v>
      </c>
      <c r="M23" s="37" t="str">
        <f t="shared" si="0"/>
        <v>D</v>
      </c>
    </row>
    <row r="24" spans="1:13" x14ac:dyDescent="0.4">
      <c r="A24" s="42" t="str">
        <f t="shared" si="1"/>
        <v>D023</v>
      </c>
      <c r="B24" s="42" t="str">
        <f>VLOOKUP(C24,[1]item!B:C,2,0)</f>
        <v>D</v>
      </c>
      <c r="C24" s="43" t="s">
        <v>707</v>
      </c>
      <c r="D24" s="56" t="s">
        <v>715</v>
      </c>
      <c r="E24" s="60" t="s">
        <v>712</v>
      </c>
      <c r="F24" s="56">
        <v>65010</v>
      </c>
      <c r="G24" s="58" t="s">
        <v>716</v>
      </c>
      <c r="H24" s="56">
        <v>411</v>
      </c>
      <c r="I24" s="48">
        <v>36465</v>
      </c>
      <c r="J24" s="56"/>
      <c r="K24" s="50" t="s">
        <v>717</v>
      </c>
      <c r="L24" s="37" t="str">
        <f t="shared" si="0"/>
        <v>D023</v>
      </c>
      <c r="M24" s="37" t="str">
        <f t="shared" si="0"/>
        <v>D</v>
      </c>
    </row>
    <row r="25" spans="1:13" ht="16.75" x14ac:dyDescent="0.45">
      <c r="A25" s="42" t="str">
        <f t="shared" si="1"/>
        <v>D024</v>
      </c>
      <c r="B25" s="42" t="str">
        <f>VLOOKUP(C25,[1]item!B:C,2,0)</f>
        <v>D</v>
      </c>
      <c r="C25" s="43" t="s">
        <v>707</v>
      </c>
      <c r="D25" s="82" t="s">
        <v>718</v>
      </c>
      <c r="E25" s="75" t="s">
        <v>719</v>
      </c>
      <c r="F25" s="71">
        <v>65011</v>
      </c>
      <c r="G25" s="83" t="s">
        <v>720</v>
      </c>
      <c r="H25" s="71">
        <v>411</v>
      </c>
      <c r="I25" s="48">
        <v>36495</v>
      </c>
      <c r="J25" s="56"/>
      <c r="K25" s="50" t="s">
        <v>721</v>
      </c>
      <c r="L25" s="37" t="str">
        <f t="shared" si="0"/>
        <v>D024</v>
      </c>
      <c r="M25" s="37" t="str">
        <f t="shared" si="0"/>
        <v>D</v>
      </c>
    </row>
    <row r="26" spans="1:13" x14ac:dyDescent="0.4">
      <c r="A26" s="42" t="str">
        <f t="shared" si="1"/>
        <v>D025</v>
      </c>
      <c r="B26" s="42" t="str">
        <f>VLOOKUP(C26,[1]item!B:C,2,0)</f>
        <v>D</v>
      </c>
      <c r="C26" s="43" t="s">
        <v>707</v>
      </c>
      <c r="D26" s="84" t="s">
        <v>722</v>
      </c>
      <c r="E26" s="85" t="s">
        <v>649</v>
      </c>
      <c r="F26" s="71">
        <v>65008</v>
      </c>
      <c r="G26" s="86" t="s">
        <v>723</v>
      </c>
      <c r="H26" s="71">
        <v>411</v>
      </c>
      <c r="I26" s="48">
        <v>36526</v>
      </c>
      <c r="J26" s="87"/>
      <c r="K26" s="50" t="s">
        <v>724</v>
      </c>
      <c r="L26" s="37" t="str">
        <f t="shared" si="0"/>
        <v>D025</v>
      </c>
      <c r="M26" s="37" t="str">
        <f t="shared" si="0"/>
        <v>D</v>
      </c>
    </row>
    <row r="27" spans="1:13" ht="16.75" x14ac:dyDescent="0.45">
      <c r="A27" s="42" t="str">
        <f t="shared" si="1"/>
        <v>D026</v>
      </c>
      <c r="B27" s="42" t="str">
        <f>VLOOKUP(C27,[1]item!B:C,2,0)</f>
        <v>D</v>
      </c>
      <c r="C27" s="43" t="s">
        <v>707</v>
      </c>
      <c r="D27" s="88" t="s">
        <v>725</v>
      </c>
      <c r="E27" s="89" t="s">
        <v>641</v>
      </c>
      <c r="F27" s="56">
        <v>65012</v>
      </c>
      <c r="G27" s="90" t="s">
        <v>726</v>
      </c>
      <c r="H27" s="56">
        <v>411</v>
      </c>
      <c r="I27" s="48">
        <v>36557</v>
      </c>
      <c r="J27" s="56"/>
      <c r="K27" s="50" t="s">
        <v>727</v>
      </c>
      <c r="L27" s="37" t="str">
        <f t="shared" si="0"/>
        <v>D026</v>
      </c>
      <c r="M27" s="37" t="str">
        <f t="shared" si="0"/>
        <v>D</v>
      </c>
    </row>
    <row r="28" spans="1:13" ht="16.75" x14ac:dyDescent="0.45">
      <c r="A28" s="42" t="str">
        <f t="shared" si="1"/>
        <v>D027</v>
      </c>
      <c r="B28" s="42" t="str">
        <f>VLOOKUP(C28,[1]item!B:C,2,0)</f>
        <v>D</v>
      </c>
      <c r="C28" s="43" t="s">
        <v>707</v>
      </c>
      <c r="D28" s="56" t="s">
        <v>728</v>
      </c>
      <c r="E28" s="60" t="s">
        <v>729</v>
      </c>
      <c r="F28" s="56">
        <v>65009</v>
      </c>
      <c r="G28" s="90" t="s">
        <v>730</v>
      </c>
      <c r="H28" s="56">
        <v>411</v>
      </c>
      <c r="I28" s="48">
        <v>36586</v>
      </c>
      <c r="J28" s="56"/>
      <c r="K28" s="50" t="s">
        <v>731</v>
      </c>
      <c r="L28" s="37" t="str">
        <f t="shared" si="0"/>
        <v>D027</v>
      </c>
      <c r="M28" s="37" t="str">
        <f t="shared" si="0"/>
        <v>D</v>
      </c>
    </row>
    <row r="29" spans="1:13" ht="16.75" x14ac:dyDescent="0.45">
      <c r="A29" s="42" t="str">
        <f t="shared" si="1"/>
        <v>D028</v>
      </c>
      <c r="B29" s="42" t="str">
        <f>VLOOKUP(C29,[1]item!B:C,2,0)</f>
        <v>D</v>
      </c>
      <c r="C29" s="43" t="s">
        <v>707</v>
      </c>
      <c r="D29" s="56" t="s">
        <v>732</v>
      </c>
      <c r="E29" s="60" t="s">
        <v>729</v>
      </c>
      <c r="F29" s="56">
        <v>65513</v>
      </c>
      <c r="G29" s="90" t="s">
        <v>733</v>
      </c>
      <c r="H29" s="56">
        <v>411</v>
      </c>
      <c r="I29" s="48">
        <v>36617</v>
      </c>
      <c r="J29" s="56"/>
      <c r="K29" s="50" t="s">
        <v>734</v>
      </c>
      <c r="L29" s="37" t="str">
        <f t="shared" si="0"/>
        <v>D028</v>
      </c>
      <c r="M29" s="37" t="str">
        <f t="shared" si="0"/>
        <v>D</v>
      </c>
    </row>
    <row r="30" spans="1:13" ht="30" x14ac:dyDescent="0.4">
      <c r="A30" s="42" t="str">
        <f t="shared" si="1"/>
        <v>D029</v>
      </c>
      <c r="B30" s="42" t="str">
        <f>VLOOKUP(C30,[1]item!B:C,2,0)</f>
        <v>D</v>
      </c>
      <c r="C30" s="43" t="s">
        <v>707</v>
      </c>
      <c r="D30" s="44" t="s">
        <v>735</v>
      </c>
      <c r="E30" s="45" t="s">
        <v>736</v>
      </c>
      <c r="F30" s="46">
        <v>65013</v>
      </c>
      <c r="G30" s="47" t="s">
        <v>737</v>
      </c>
      <c r="H30" s="46">
        <v>308</v>
      </c>
      <c r="I30" s="48">
        <v>36647</v>
      </c>
      <c r="J30" s="46"/>
      <c r="K30" s="50" t="s">
        <v>738</v>
      </c>
      <c r="L30" s="37" t="str">
        <f t="shared" si="0"/>
        <v>D029</v>
      </c>
      <c r="M30" s="37" t="str">
        <f t="shared" si="0"/>
        <v>D</v>
      </c>
    </row>
    <row r="31" spans="1:13" ht="45" x14ac:dyDescent="0.4">
      <c r="A31" s="42" t="str">
        <f t="shared" si="1"/>
        <v>D030</v>
      </c>
      <c r="B31" s="42" t="str">
        <f>VLOOKUP(C31,[1]item!B:C,2,0)</f>
        <v>D</v>
      </c>
      <c r="C31" s="43" t="s">
        <v>707</v>
      </c>
      <c r="D31" s="59" t="s">
        <v>739</v>
      </c>
      <c r="E31" s="91" t="s">
        <v>740</v>
      </c>
      <c r="F31" s="59" t="s">
        <v>741</v>
      </c>
      <c r="G31" s="92" t="s">
        <v>742</v>
      </c>
      <c r="H31" s="59" t="s">
        <v>743</v>
      </c>
      <c r="I31" s="48">
        <v>36678</v>
      </c>
      <c r="J31" s="59"/>
      <c r="K31" s="50" t="s">
        <v>744</v>
      </c>
      <c r="L31" s="37" t="str">
        <f t="shared" si="0"/>
        <v>D030</v>
      </c>
      <c r="M31" s="37" t="str">
        <f t="shared" si="0"/>
        <v>D</v>
      </c>
    </row>
    <row r="32" spans="1:13" ht="45" x14ac:dyDescent="0.4">
      <c r="A32" s="42" t="str">
        <f t="shared" si="1"/>
        <v>D031</v>
      </c>
      <c r="B32" s="42" t="str">
        <f>VLOOKUP(C32,[1]item!B:C,2,0)</f>
        <v>D</v>
      </c>
      <c r="C32" s="43" t="s">
        <v>707</v>
      </c>
      <c r="D32" s="56" t="s">
        <v>745</v>
      </c>
      <c r="E32" s="91" t="s">
        <v>740</v>
      </c>
      <c r="F32" s="56" t="s">
        <v>741</v>
      </c>
      <c r="G32" s="58" t="s">
        <v>746</v>
      </c>
      <c r="H32" s="56" t="s">
        <v>743</v>
      </c>
      <c r="I32" s="48">
        <v>36708</v>
      </c>
      <c r="J32" s="59"/>
      <c r="K32" s="50" t="s">
        <v>747</v>
      </c>
      <c r="L32" s="37" t="str">
        <f t="shared" si="0"/>
        <v>D031</v>
      </c>
      <c r="M32" s="37" t="str">
        <f t="shared" si="0"/>
        <v>D</v>
      </c>
    </row>
    <row r="33" spans="1:13" ht="45" x14ac:dyDescent="0.4">
      <c r="A33" s="42" t="str">
        <f t="shared" si="1"/>
        <v>D032</v>
      </c>
      <c r="B33" s="42" t="str">
        <f>VLOOKUP(C33,[1]item!B:C,2,0)</f>
        <v>D</v>
      </c>
      <c r="C33" s="43" t="s">
        <v>707</v>
      </c>
      <c r="D33" s="56" t="s">
        <v>748</v>
      </c>
      <c r="E33" s="60" t="s">
        <v>740</v>
      </c>
      <c r="F33" s="56" t="s">
        <v>741</v>
      </c>
      <c r="G33" s="58" t="s">
        <v>749</v>
      </c>
      <c r="H33" s="56" t="s">
        <v>743</v>
      </c>
      <c r="I33" s="48">
        <v>36739</v>
      </c>
      <c r="J33" s="56"/>
      <c r="K33" s="50" t="s">
        <v>750</v>
      </c>
      <c r="L33" s="37" t="str">
        <f t="shared" si="0"/>
        <v>D032</v>
      </c>
      <c r="M33" s="37" t="str">
        <f t="shared" si="0"/>
        <v>D</v>
      </c>
    </row>
    <row r="34" spans="1:13" x14ac:dyDescent="0.4">
      <c r="A34" s="42" t="str">
        <f t="shared" si="1"/>
        <v>E033</v>
      </c>
      <c r="B34" s="42" t="str">
        <f>VLOOKUP(C34,[1]item!B:C,2,0)</f>
        <v>E</v>
      </c>
      <c r="C34" s="43" t="s">
        <v>751</v>
      </c>
      <c r="D34" s="44" t="s">
        <v>752</v>
      </c>
      <c r="E34" s="45" t="s">
        <v>660</v>
      </c>
      <c r="F34" s="46">
        <v>65003</v>
      </c>
      <c r="G34" s="47" t="s">
        <v>753</v>
      </c>
      <c r="H34" s="46">
        <v>215</v>
      </c>
      <c r="I34" s="48">
        <v>36770</v>
      </c>
      <c r="J34" s="46"/>
      <c r="K34" s="50" t="s">
        <v>754</v>
      </c>
      <c r="L34" s="37" t="str">
        <f t="shared" si="0"/>
        <v>E033</v>
      </c>
      <c r="M34" s="37" t="str">
        <f t="shared" si="0"/>
        <v>E</v>
      </c>
    </row>
    <row r="35" spans="1:13" x14ac:dyDescent="0.4">
      <c r="A35" s="42" t="str">
        <f t="shared" si="1"/>
        <v>E034</v>
      </c>
      <c r="B35" s="42" t="str">
        <f>VLOOKUP(C35,[1]item!B:C,2,0)</f>
        <v>E</v>
      </c>
      <c r="C35" s="43" t="s">
        <v>751</v>
      </c>
      <c r="D35" s="56" t="s">
        <v>755</v>
      </c>
      <c r="E35" s="70" t="s">
        <v>839</v>
      </c>
      <c r="F35" s="56">
        <v>65035</v>
      </c>
      <c r="G35" s="58" t="s">
        <v>756</v>
      </c>
      <c r="H35" s="56">
        <v>201</v>
      </c>
      <c r="I35" s="48">
        <v>36800</v>
      </c>
      <c r="J35" s="56"/>
      <c r="K35" s="50" t="s">
        <v>757</v>
      </c>
      <c r="L35" s="37" t="str">
        <f t="shared" si="0"/>
        <v>E034</v>
      </c>
      <c r="M35" s="37" t="str">
        <f t="shared" si="0"/>
        <v>E</v>
      </c>
    </row>
    <row r="36" spans="1:13" x14ac:dyDescent="0.4">
      <c r="A36" s="42" t="str">
        <f t="shared" si="1"/>
        <v>E035</v>
      </c>
      <c r="B36" s="42" t="str">
        <f>VLOOKUP(C36,[1]item!B:C,2,0)</f>
        <v>E</v>
      </c>
      <c r="C36" s="43" t="s">
        <v>751</v>
      </c>
      <c r="D36" s="56" t="s">
        <v>758</v>
      </c>
      <c r="E36" s="60" t="s">
        <v>641</v>
      </c>
      <c r="F36" s="62">
        <v>65042</v>
      </c>
      <c r="G36" s="65" t="s">
        <v>759</v>
      </c>
      <c r="H36" s="62">
        <v>200</v>
      </c>
      <c r="I36" s="48">
        <v>36831</v>
      </c>
      <c r="J36" s="62"/>
      <c r="K36" s="50" t="s">
        <v>760</v>
      </c>
      <c r="L36" s="37" t="str">
        <f t="shared" si="0"/>
        <v>E035</v>
      </c>
      <c r="M36" s="37" t="str">
        <f t="shared" si="0"/>
        <v>E</v>
      </c>
    </row>
    <row r="37" spans="1:13" x14ac:dyDescent="0.4">
      <c r="A37" s="42" t="str">
        <f t="shared" si="1"/>
        <v>E036</v>
      </c>
      <c r="B37" s="42" t="str">
        <f>VLOOKUP(C37,[1]item!B:C,2,0)</f>
        <v>E</v>
      </c>
      <c r="C37" s="43" t="s">
        <v>751</v>
      </c>
      <c r="D37" s="56" t="s">
        <v>761</v>
      </c>
      <c r="E37" s="60" t="s">
        <v>641</v>
      </c>
      <c r="F37" s="56">
        <v>65041</v>
      </c>
      <c r="G37" s="58" t="s">
        <v>762</v>
      </c>
      <c r="H37" s="56">
        <v>200</v>
      </c>
      <c r="I37" s="48">
        <v>36861</v>
      </c>
      <c r="J37" s="56"/>
      <c r="K37" s="50" t="s">
        <v>763</v>
      </c>
      <c r="L37" s="37" t="str">
        <f t="shared" si="0"/>
        <v>E036</v>
      </c>
      <c r="M37" s="37" t="str">
        <f t="shared" si="0"/>
        <v>E</v>
      </c>
    </row>
    <row r="38" spans="1:13" x14ac:dyDescent="0.4">
      <c r="A38" s="42" t="str">
        <f t="shared" si="1"/>
        <v>E037</v>
      </c>
      <c r="B38" s="42" t="str">
        <f>VLOOKUP(C38,[1]item!B:C,2,0)</f>
        <v>E</v>
      </c>
      <c r="C38" s="43" t="s">
        <v>751</v>
      </c>
      <c r="D38" s="56"/>
      <c r="E38" s="60"/>
      <c r="F38" s="56">
        <v>65040</v>
      </c>
      <c r="G38" s="58"/>
      <c r="H38" s="56">
        <v>200</v>
      </c>
      <c r="I38" s="48">
        <v>36892</v>
      </c>
      <c r="J38" s="56"/>
      <c r="K38" s="50" t="s">
        <v>764</v>
      </c>
      <c r="L38" s="37" t="str">
        <f t="shared" si="0"/>
        <v>E037</v>
      </c>
      <c r="M38" s="37" t="str">
        <f t="shared" si="0"/>
        <v>E</v>
      </c>
    </row>
    <row r="39" spans="1:13" x14ac:dyDescent="0.4">
      <c r="A39" s="42" t="str">
        <f t="shared" si="1"/>
        <v>E038</v>
      </c>
      <c r="B39" s="42" t="str">
        <f>VLOOKUP(C39,[1]item!B:C,2,0)</f>
        <v>E</v>
      </c>
      <c r="C39" s="43" t="s">
        <v>751</v>
      </c>
      <c r="D39" s="56" t="s">
        <v>765</v>
      </c>
      <c r="E39" s="60" t="s">
        <v>766</v>
      </c>
      <c r="F39" s="56">
        <v>65039</v>
      </c>
      <c r="G39" s="58" t="s">
        <v>767</v>
      </c>
      <c r="H39" s="56">
        <v>207</v>
      </c>
      <c r="I39" s="48">
        <v>36923</v>
      </c>
      <c r="J39" s="56"/>
      <c r="K39" s="50" t="s">
        <v>768</v>
      </c>
      <c r="L39" s="37" t="str">
        <f t="shared" si="0"/>
        <v>E038</v>
      </c>
      <c r="M39" s="37" t="str">
        <f t="shared" si="0"/>
        <v>E</v>
      </c>
    </row>
    <row r="40" spans="1:13" x14ac:dyDescent="0.4">
      <c r="A40" s="42" t="str">
        <f t="shared" si="1"/>
        <v>E039</v>
      </c>
      <c r="B40" s="42" t="str">
        <f>VLOOKUP(C40,[1]item!B:C,2,0)</f>
        <v>E</v>
      </c>
      <c r="C40" s="43" t="s">
        <v>751</v>
      </c>
      <c r="D40" s="71"/>
      <c r="E40" s="60"/>
      <c r="F40" s="56">
        <v>65037</v>
      </c>
      <c r="G40" s="58"/>
      <c r="H40" s="56">
        <v>207</v>
      </c>
      <c r="I40" s="48">
        <v>36951</v>
      </c>
      <c r="J40" s="72"/>
      <c r="K40" s="50" t="s">
        <v>769</v>
      </c>
      <c r="L40" s="37" t="str">
        <f t="shared" si="0"/>
        <v>E039</v>
      </c>
      <c r="M40" s="37" t="str">
        <f t="shared" si="0"/>
        <v>E</v>
      </c>
    </row>
    <row r="41" spans="1:13" x14ac:dyDescent="0.4">
      <c r="A41" s="42" t="str">
        <f t="shared" si="1"/>
        <v>E040</v>
      </c>
      <c r="B41" s="42" t="str">
        <f>VLOOKUP(C41,[1]item!B:C,2,0)</f>
        <v>E</v>
      </c>
      <c r="C41" s="43" t="s">
        <v>751</v>
      </c>
      <c r="D41" s="56" t="s">
        <v>770</v>
      </c>
      <c r="E41" s="60" t="s">
        <v>641</v>
      </c>
      <c r="F41" s="56">
        <v>65517</v>
      </c>
      <c r="G41" s="58" t="s">
        <v>771</v>
      </c>
      <c r="H41" s="56">
        <v>311</v>
      </c>
      <c r="I41" s="48">
        <v>36982</v>
      </c>
      <c r="J41" s="56"/>
      <c r="K41" s="50" t="s">
        <v>772</v>
      </c>
      <c r="L41" s="37" t="str">
        <f t="shared" si="0"/>
        <v>E040</v>
      </c>
      <c r="M41" s="37" t="str">
        <f t="shared" si="0"/>
        <v>E</v>
      </c>
    </row>
    <row r="42" spans="1:13" x14ac:dyDescent="0.4">
      <c r="A42" s="42" t="str">
        <f t="shared" si="1"/>
        <v>E041</v>
      </c>
      <c r="B42" s="42" t="str">
        <f>VLOOKUP(C42,[1]item!B:C,2,0)</f>
        <v>E</v>
      </c>
      <c r="C42" s="43" t="s">
        <v>751</v>
      </c>
      <c r="D42" s="56" t="s">
        <v>773</v>
      </c>
      <c r="E42" s="60" t="s">
        <v>649</v>
      </c>
      <c r="F42" s="56">
        <v>65514</v>
      </c>
      <c r="G42" s="58" t="s">
        <v>774</v>
      </c>
      <c r="H42" s="56">
        <v>311</v>
      </c>
      <c r="I42" s="48">
        <v>37012</v>
      </c>
      <c r="J42" s="56"/>
      <c r="K42" s="50" t="s">
        <v>775</v>
      </c>
      <c r="L42" s="37" t="str">
        <f t="shared" si="0"/>
        <v>E041</v>
      </c>
      <c r="M42" s="37" t="str">
        <f t="shared" si="0"/>
        <v>E</v>
      </c>
    </row>
    <row r="43" spans="1:13" x14ac:dyDescent="0.4">
      <c r="A43" s="42" t="str">
        <f t="shared" si="1"/>
        <v>E042</v>
      </c>
      <c r="B43" s="42" t="str">
        <f>VLOOKUP(C43,[1]item!B:C,2,0)</f>
        <v>E</v>
      </c>
      <c r="C43" s="43" t="s">
        <v>751</v>
      </c>
      <c r="D43" s="93" t="s">
        <v>776</v>
      </c>
      <c r="E43" s="75" t="s">
        <v>641</v>
      </c>
      <c r="F43" s="71">
        <v>65515</v>
      </c>
      <c r="G43" s="94" t="s">
        <v>777</v>
      </c>
      <c r="H43" s="71">
        <v>311</v>
      </c>
      <c r="I43" s="48">
        <v>37043</v>
      </c>
      <c r="J43" s="72"/>
      <c r="K43" s="50" t="s">
        <v>778</v>
      </c>
      <c r="L43" s="37" t="str">
        <f t="shared" si="0"/>
        <v>E042</v>
      </c>
      <c r="M43" s="37" t="str">
        <f t="shared" si="0"/>
        <v>E</v>
      </c>
    </row>
    <row r="44" spans="1:13" x14ac:dyDescent="0.4">
      <c r="A44" s="42" t="str">
        <f t="shared" si="1"/>
        <v>E043</v>
      </c>
      <c r="B44" s="42" t="str">
        <f>VLOOKUP(C44,[1]item!B:C,2,0)</f>
        <v>E</v>
      </c>
      <c r="C44" s="43" t="s">
        <v>751</v>
      </c>
      <c r="D44" s="71" t="s">
        <v>779</v>
      </c>
      <c r="E44" s="60" t="s">
        <v>641</v>
      </c>
      <c r="F44" s="56">
        <v>65520</v>
      </c>
      <c r="G44" s="58" t="s">
        <v>780</v>
      </c>
      <c r="H44" s="56">
        <v>311</v>
      </c>
      <c r="I44" s="48">
        <v>37073</v>
      </c>
      <c r="J44" s="72"/>
      <c r="K44" s="50" t="s">
        <v>781</v>
      </c>
      <c r="L44" s="37" t="str">
        <f t="shared" si="0"/>
        <v>E043</v>
      </c>
      <c r="M44" s="37" t="str">
        <f t="shared" si="0"/>
        <v>E</v>
      </c>
    </row>
    <row r="45" spans="1:13" x14ac:dyDescent="0.4">
      <c r="A45" s="42" t="str">
        <f t="shared" si="1"/>
        <v>E044</v>
      </c>
      <c r="B45" s="42" t="str">
        <f>VLOOKUP(C45,[1]item!B:C,2,0)</f>
        <v>E</v>
      </c>
      <c r="C45" s="95" t="s">
        <v>751</v>
      </c>
      <c r="D45" s="56" t="s">
        <v>782</v>
      </c>
      <c r="E45" s="60" t="s">
        <v>641</v>
      </c>
      <c r="F45" s="56">
        <v>65524</v>
      </c>
      <c r="G45" s="58" t="s">
        <v>783</v>
      </c>
      <c r="H45" s="56">
        <v>311</v>
      </c>
      <c r="I45" s="48">
        <v>37104</v>
      </c>
      <c r="J45" s="56"/>
      <c r="K45" s="50" t="s">
        <v>784</v>
      </c>
      <c r="L45" s="37" t="str">
        <f t="shared" si="0"/>
        <v>E044</v>
      </c>
      <c r="M45" s="37" t="str">
        <f t="shared" si="0"/>
        <v>E</v>
      </c>
    </row>
    <row r="46" spans="1:13" x14ac:dyDescent="0.4">
      <c r="A46" s="42" t="str">
        <f t="shared" si="1"/>
        <v>E045</v>
      </c>
      <c r="B46" s="42" t="str">
        <f>VLOOKUP(C46,[1]item!B:C,2,0)</f>
        <v>E</v>
      </c>
      <c r="C46" s="95" t="s">
        <v>751</v>
      </c>
      <c r="D46" s="56" t="s">
        <v>785</v>
      </c>
      <c r="E46" s="60" t="s">
        <v>641</v>
      </c>
      <c r="F46" s="56">
        <v>65523</v>
      </c>
      <c r="G46" s="58" t="s">
        <v>786</v>
      </c>
      <c r="H46" s="56">
        <v>311</v>
      </c>
      <c r="I46" s="48">
        <v>37135</v>
      </c>
      <c r="J46" s="56"/>
      <c r="K46" s="50" t="s">
        <v>787</v>
      </c>
      <c r="L46" s="37" t="str">
        <f t="shared" si="0"/>
        <v>E045</v>
      </c>
      <c r="M46" s="37" t="str">
        <f t="shared" si="0"/>
        <v>E</v>
      </c>
    </row>
    <row r="47" spans="1:13" x14ac:dyDescent="0.4">
      <c r="A47" s="42" t="str">
        <f t="shared" si="1"/>
        <v>E046</v>
      </c>
      <c r="B47" s="42" t="str">
        <f>VLOOKUP(C47,[1]item!B:C,2,0)</f>
        <v>E</v>
      </c>
      <c r="C47" s="95" t="s">
        <v>751</v>
      </c>
      <c r="D47" s="56" t="s">
        <v>788</v>
      </c>
      <c r="E47" s="60" t="s">
        <v>641</v>
      </c>
      <c r="F47" s="56">
        <v>65521</v>
      </c>
      <c r="G47" s="58" t="s">
        <v>789</v>
      </c>
      <c r="H47" s="56">
        <v>315</v>
      </c>
      <c r="I47" s="48">
        <v>37165</v>
      </c>
      <c r="J47" s="56"/>
      <c r="K47" s="50" t="s">
        <v>790</v>
      </c>
      <c r="L47" s="37" t="str">
        <f t="shared" si="0"/>
        <v>E046</v>
      </c>
      <c r="M47" s="37" t="str">
        <f t="shared" si="0"/>
        <v>E</v>
      </c>
    </row>
    <row r="48" spans="1:13" x14ac:dyDescent="0.4">
      <c r="A48" s="42" t="str">
        <f t="shared" si="1"/>
        <v>E047</v>
      </c>
      <c r="B48" s="42" t="str">
        <f>VLOOKUP(C48,[1]item!B:C,2,0)</f>
        <v>E</v>
      </c>
      <c r="C48" s="95" t="s">
        <v>751</v>
      </c>
      <c r="D48" s="56" t="s">
        <v>791</v>
      </c>
      <c r="E48" s="60" t="s">
        <v>641</v>
      </c>
      <c r="F48" s="56">
        <v>65518</v>
      </c>
      <c r="G48" s="58" t="s">
        <v>792</v>
      </c>
      <c r="H48" s="56">
        <v>315</v>
      </c>
      <c r="I48" s="48">
        <v>37196</v>
      </c>
      <c r="J48" s="56"/>
      <c r="K48" s="50" t="s">
        <v>793</v>
      </c>
      <c r="L48" s="37" t="str">
        <f t="shared" si="0"/>
        <v>E047</v>
      </c>
      <c r="M48" s="37" t="str">
        <f t="shared" si="0"/>
        <v>E</v>
      </c>
    </row>
    <row r="49" spans="1:13" x14ac:dyDescent="0.4">
      <c r="A49" s="42" t="str">
        <f t="shared" si="1"/>
        <v>E048</v>
      </c>
      <c r="B49" s="42" t="str">
        <f>VLOOKUP(C49,[1]item!B:C,2,0)</f>
        <v>E</v>
      </c>
      <c r="C49" s="95" t="s">
        <v>751</v>
      </c>
      <c r="D49" s="71"/>
      <c r="E49" s="60" t="s">
        <v>641</v>
      </c>
      <c r="F49" s="56">
        <v>65516</v>
      </c>
      <c r="G49" s="58"/>
      <c r="H49" s="56">
        <v>315</v>
      </c>
      <c r="I49" s="48">
        <v>37226</v>
      </c>
      <c r="J49" s="72"/>
      <c r="K49" s="50" t="s">
        <v>794</v>
      </c>
      <c r="L49" s="37" t="str">
        <f t="shared" si="0"/>
        <v>E048</v>
      </c>
      <c r="M49" s="37" t="str">
        <f t="shared" si="0"/>
        <v>E</v>
      </c>
    </row>
    <row r="50" spans="1:13" x14ac:dyDescent="0.4">
      <c r="A50" s="42" t="str">
        <f t="shared" si="1"/>
        <v>E049</v>
      </c>
      <c r="B50" s="42" t="str">
        <f>VLOOKUP(C50,[1]item!B:C,2,0)</f>
        <v>E</v>
      </c>
      <c r="C50" s="95" t="s">
        <v>751</v>
      </c>
      <c r="D50" s="56" t="s">
        <v>795</v>
      </c>
      <c r="E50" s="60" t="s">
        <v>641</v>
      </c>
      <c r="F50" s="56">
        <v>65056</v>
      </c>
      <c r="G50" s="58" t="s">
        <v>796</v>
      </c>
      <c r="H50" s="56">
        <v>316</v>
      </c>
      <c r="I50" s="48">
        <v>37257</v>
      </c>
      <c r="J50" s="56"/>
      <c r="K50" s="50" t="s">
        <v>797</v>
      </c>
      <c r="L50" s="37" t="str">
        <f t="shared" si="0"/>
        <v>E049</v>
      </c>
      <c r="M50" s="37" t="str">
        <f t="shared" si="0"/>
        <v>E</v>
      </c>
    </row>
    <row r="51" spans="1:13" x14ac:dyDescent="0.4">
      <c r="A51" s="42" t="str">
        <f t="shared" si="1"/>
        <v>E050</v>
      </c>
      <c r="B51" s="42" t="str">
        <f>VLOOKUP(C51,[1]item!B:C,2,0)</f>
        <v>E</v>
      </c>
      <c r="C51" s="95" t="s">
        <v>751</v>
      </c>
      <c r="D51" s="56" t="s">
        <v>798</v>
      </c>
      <c r="E51" s="60" t="s">
        <v>641</v>
      </c>
      <c r="F51" s="62">
        <v>65032</v>
      </c>
      <c r="G51" s="65" t="s">
        <v>799</v>
      </c>
      <c r="H51" s="62">
        <v>316</v>
      </c>
      <c r="I51" s="48">
        <v>37288</v>
      </c>
      <c r="J51" s="62"/>
      <c r="K51" s="50" t="s">
        <v>800</v>
      </c>
      <c r="L51" s="37" t="str">
        <f t="shared" si="0"/>
        <v>E050</v>
      </c>
      <c r="M51" s="37" t="str">
        <f t="shared" si="0"/>
        <v>E</v>
      </c>
    </row>
    <row r="52" spans="1:13" x14ac:dyDescent="0.4">
      <c r="A52" s="42" t="str">
        <f t="shared" si="1"/>
        <v>E051</v>
      </c>
      <c r="B52" s="42" t="str">
        <f>VLOOKUP(C52,[1]item!B:C,2,0)</f>
        <v>E</v>
      </c>
      <c r="C52" s="95" t="s">
        <v>751</v>
      </c>
      <c r="D52" s="96" t="s">
        <v>801</v>
      </c>
      <c r="E52" s="60" t="s">
        <v>641</v>
      </c>
      <c r="F52" s="62">
        <v>65025</v>
      </c>
      <c r="G52" s="65" t="s">
        <v>802</v>
      </c>
      <c r="H52" s="62">
        <v>316</v>
      </c>
      <c r="I52" s="48">
        <v>37316</v>
      </c>
      <c r="J52" s="62"/>
      <c r="K52" s="50" t="s">
        <v>803</v>
      </c>
      <c r="L52" s="37" t="str">
        <f t="shared" si="0"/>
        <v>E051</v>
      </c>
      <c r="M52" s="37" t="str">
        <f t="shared" si="0"/>
        <v>E</v>
      </c>
    </row>
    <row r="53" spans="1:13" ht="30" x14ac:dyDescent="0.4">
      <c r="A53" s="42" t="str">
        <f t="shared" si="1"/>
        <v>E052</v>
      </c>
      <c r="B53" s="42" t="str">
        <f>VLOOKUP(C53,[1]item!B:C,2,0)</f>
        <v>E</v>
      </c>
      <c r="C53" s="95" t="s">
        <v>751</v>
      </c>
      <c r="D53" s="56" t="s">
        <v>804</v>
      </c>
      <c r="E53" s="60" t="s">
        <v>805</v>
      </c>
      <c r="F53" s="62">
        <v>65015</v>
      </c>
      <c r="G53" s="65" t="s">
        <v>806</v>
      </c>
      <c r="H53" s="62">
        <v>407</v>
      </c>
      <c r="I53" s="48">
        <v>37347</v>
      </c>
      <c r="J53" s="62"/>
      <c r="K53" s="50" t="s">
        <v>807</v>
      </c>
      <c r="L53" s="37" t="str">
        <f t="shared" si="0"/>
        <v>E052</v>
      </c>
      <c r="M53" s="37" t="str">
        <f t="shared" si="0"/>
        <v>E</v>
      </c>
    </row>
    <row r="54" spans="1:13" x14ac:dyDescent="0.4">
      <c r="A54" s="42" t="str">
        <f t="shared" si="1"/>
        <v>E053</v>
      </c>
      <c r="B54" s="42" t="str">
        <f>VLOOKUP(C54,[1]item!B:C,2,0)</f>
        <v>E</v>
      </c>
      <c r="C54" s="95" t="s">
        <v>751</v>
      </c>
      <c r="D54" s="56" t="s">
        <v>808</v>
      </c>
      <c r="E54" s="60" t="s">
        <v>712</v>
      </c>
      <c r="F54" s="97">
        <v>65054</v>
      </c>
      <c r="G54" s="98" t="s">
        <v>809</v>
      </c>
      <c r="H54" s="97">
        <v>409</v>
      </c>
      <c r="I54" s="111">
        <v>37377</v>
      </c>
      <c r="J54" s="97"/>
      <c r="K54" s="50" t="s">
        <v>810</v>
      </c>
      <c r="L54" s="37" t="str">
        <f t="shared" si="0"/>
        <v>E053</v>
      </c>
      <c r="M54" s="37" t="str">
        <f t="shared" si="0"/>
        <v>E</v>
      </c>
    </row>
  </sheetData>
  <phoneticPr fontId="14" type="noConversion"/>
  <conditionalFormatting sqref="C1:D10 F1:J10">
    <cfRule type="expression" dxfId="165" priority="115">
      <formula>#REF!="程式組"</formula>
    </cfRule>
    <cfRule type="expression" dxfId="164" priority="116">
      <formula>#REF!="網路組"</formula>
    </cfRule>
  </conditionalFormatting>
  <conditionalFormatting sqref="C1:D21 F1:J21">
    <cfRule type="expression" dxfId="163" priority="117">
      <formula>#REF!="作業組"</formula>
    </cfRule>
    <cfRule type="expression" dxfId="162" priority="118">
      <formula>#REF!="教學組"</formula>
    </cfRule>
    <cfRule type="expression" dxfId="161" priority="119">
      <formula>#REF!="行政室"</formula>
    </cfRule>
  </conditionalFormatting>
  <conditionalFormatting sqref="C11:D21 F11:J21">
    <cfRule type="expression" dxfId="160" priority="120">
      <formula>#REF!="程式組"</formula>
    </cfRule>
    <cfRule type="expression" dxfId="159" priority="121">
      <formula>#REF!="網路組"</formula>
    </cfRule>
  </conditionalFormatting>
  <conditionalFormatting sqref="J55:K58 C1:D1048576 F59:K1048576 F1:K54">
    <cfRule type="expression" dxfId="158" priority="109">
      <formula>$A1="程式組"</formula>
    </cfRule>
    <cfRule type="expression" dxfId="157" priority="110">
      <formula>$A1="網路組"</formula>
    </cfRule>
    <cfRule type="expression" dxfId="156" priority="111">
      <formula>$A1="作業組"</formula>
    </cfRule>
    <cfRule type="expression" dxfId="155" priority="112">
      <formula>$A1="教學組"</formula>
    </cfRule>
    <cfRule type="expression" dxfId="154" priority="113">
      <formula>$A1="行政室"</formula>
    </cfRule>
  </conditionalFormatting>
  <conditionalFormatting sqref="I1:I65522">
    <cfRule type="cellIs" dxfId="153" priority="114" stopIfTrue="1" operator="notEqual">
      <formula>#REF!</formula>
    </cfRule>
  </conditionalFormatting>
  <conditionalFormatting sqref="O1:P2">
    <cfRule type="expression" dxfId="152" priority="99">
      <formula>$A1="程式組"</formula>
    </cfRule>
    <cfRule type="expression" dxfId="151" priority="100">
      <formula>$A1="網路組"</formula>
    </cfRule>
    <cfRule type="expression" dxfId="150" priority="101">
      <formula>$A1="作業組"</formula>
    </cfRule>
    <cfRule type="expression" dxfId="149" priority="102">
      <formula>$A1="教學組"</formula>
    </cfRule>
    <cfRule type="expression" dxfId="148" priority="103">
      <formula>$A1="行政室"</formula>
    </cfRule>
    <cfRule type="expression" dxfId="147" priority="104">
      <formula>#REF!="程式組"</formula>
    </cfRule>
    <cfRule type="expression" dxfId="146" priority="105">
      <formula>#REF!="網路組"</formula>
    </cfRule>
    <cfRule type="expression" dxfId="145" priority="106">
      <formula>#REF!="作業組"</formula>
    </cfRule>
    <cfRule type="expression" dxfId="144" priority="107">
      <formula>#REF!="教學組"</formula>
    </cfRule>
    <cfRule type="expression" dxfId="143" priority="108">
      <formula>#REF!="行政室"</formula>
    </cfRule>
  </conditionalFormatting>
  <conditionalFormatting sqref="Q10">
    <cfRule type="expression" dxfId="142" priority="59">
      <formula>$A10="程式組"</formula>
    </cfRule>
    <cfRule type="expression" dxfId="141" priority="60">
      <formula>$A10="網路組"</formula>
    </cfRule>
    <cfRule type="expression" dxfId="140" priority="61">
      <formula>$A10="作業組"</formula>
    </cfRule>
    <cfRule type="expression" dxfId="139" priority="62">
      <formula>$A10="教學組"</formula>
    </cfRule>
    <cfRule type="expression" dxfId="138" priority="63">
      <formula>$A10="行政室"</formula>
    </cfRule>
    <cfRule type="expression" dxfId="137" priority="64">
      <formula>#REF!="程式組"</formula>
    </cfRule>
    <cfRule type="expression" dxfId="136" priority="65">
      <formula>#REF!="網路組"</formula>
    </cfRule>
    <cfRule type="expression" dxfId="135" priority="66">
      <formula>#REF!="作業組"</formula>
    </cfRule>
    <cfRule type="expression" dxfId="134" priority="67">
      <formula>#REF!="教學組"</formula>
    </cfRule>
    <cfRule type="expression" dxfId="133" priority="68">
      <formula>#REF!="行政室"</formula>
    </cfRule>
  </conditionalFormatting>
  <conditionalFormatting sqref="Q15">
    <cfRule type="expression" dxfId="132" priority="39">
      <formula>$A15="程式組"</formula>
    </cfRule>
    <cfRule type="expression" dxfId="131" priority="40">
      <formula>$A15="網路組"</formula>
    </cfRule>
    <cfRule type="expression" dxfId="130" priority="41">
      <formula>$A15="作業組"</formula>
    </cfRule>
    <cfRule type="expression" dxfId="129" priority="42">
      <formula>$A15="教學組"</formula>
    </cfRule>
    <cfRule type="expression" dxfId="128" priority="43">
      <formula>$A15="行政室"</formula>
    </cfRule>
    <cfRule type="expression" dxfId="127" priority="44">
      <formula>#REF!="程式組"</formula>
    </cfRule>
    <cfRule type="expression" dxfId="126" priority="45">
      <formula>#REF!="網路組"</formula>
    </cfRule>
    <cfRule type="expression" dxfId="125" priority="46">
      <formula>#REF!="作業組"</formula>
    </cfRule>
    <cfRule type="expression" dxfId="124" priority="47">
      <formula>#REF!="教學組"</formula>
    </cfRule>
    <cfRule type="expression" dxfId="123" priority="48">
      <formula>#REF!="行政室"</formula>
    </cfRule>
  </conditionalFormatting>
  <conditionalFormatting sqref="R10:R11">
    <cfRule type="expression" dxfId="122" priority="69">
      <formula>$A10="程式組"</formula>
    </cfRule>
    <cfRule type="expression" dxfId="121" priority="70">
      <formula>$A10="網路組"</formula>
    </cfRule>
    <cfRule type="expression" dxfId="120" priority="71">
      <formula>$A10="作業組"</formula>
    </cfRule>
    <cfRule type="expression" dxfId="119" priority="72">
      <formula>$A10="教學組"</formula>
    </cfRule>
    <cfRule type="expression" dxfId="118" priority="73">
      <formula>$A10="行政室"</formula>
    </cfRule>
    <cfRule type="expression" dxfId="117" priority="74">
      <formula>#REF!="程式組"</formula>
    </cfRule>
    <cfRule type="expression" dxfId="116" priority="75">
      <formula>#REF!="網路組"</formula>
    </cfRule>
    <cfRule type="expression" dxfId="115" priority="76">
      <formula>#REF!="作業組"</formula>
    </cfRule>
    <cfRule type="expression" dxfId="114" priority="77">
      <formula>#REF!="教學組"</formula>
    </cfRule>
    <cfRule type="expression" dxfId="113" priority="78">
      <formula>#REF!="行政室"</formula>
    </cfRule>
  </conditionalFormatting>
  <conditionalFormatting sqref="R15:R16">
    <cfRule type="expression" dxfId="112" priority="49">
      <formula>$A15="程式組"</formula>
    </cfRule>
    <cfRule type="expression" dxfId="111" priority="50">
      <formula>$A15="網路組"</formula>
    </cfRule>
    <cfRule type="expression" dxfId="110" priority="51">
      <formula>$A15="作業組"</formula>
    </cfRule>
    <cfRule type="expression" dxfId="109" priority="52">
      <formula>$A15="教學組"</formula>
    </cfRule>
    <cfRule type="expression" dxfId="108" priority="53">
      <formula>$A15="行政室"</formula>
    </cfRule>
    <cfRule type="expression" dxfId="107" priority="54">
      <formula>#REF!="程式組"</formula>
    </cfRule>
    <cfRule type="expression" dxfId="106" priority="55">
      <formula>#REF!="網路組"</formula>
    </cfRule>
    <cfRule type="expression" dxfId="105" priority="56">
      <formula>#REF!="作業組"</formula>
    </cfRule>
    <cfRule type="expression" dxfId="104" priority="57">
      <formula>#REF!="教學組"</formula>
    </cfRule>
    <cfRule type="expression" dxfId="103" priority="58">
      <formula>#REF!="行政室"</formula>
    </cfRule>
  </conditionalFormatting>
  <conditionalFormatting sqref="S10">
    <cfRule type="expression" dxfId="102" priority="28">
      <formula>$A10="程式組"</formula>
    </cfRule>
    <cfRule type="expression" dxfId="101" priority="29">
      <formula>$A10="網路組"</formula>
    </cfRule>
    <cfRule type="expression" dxfId="100" priority="30">
      <formula>$A10="作業組"</formula>
    </cfRule>
    <cfRule type="expression" dxfId="99" priority="31">
      <formula>$A10="教學組"</formula>
    </cfRule>
    <cfRule type="expression" dxfId="98" priority="32">
      <formula>$A10="行政室"</formula>
    </cfRule>
    <cfRule type="cellIs" dxfId="97" priority="33" stopIfTrue="1" operator="notEqual">
      <formula>#REF!</formula>
    </cfRule>
    <cfRule type="expression" dxfId="96" priority="34">
      <formula>#REF!="程式組"</formula>
    </cfRule>
    <cfRule type="expression" dxfId="95" priority="35">
      <formula>#REF!="網路組"</formula>
    </cfRule>
    <cfRule type="expression" dxfId="94" priority="36">
      <formula>#REF!="作業組"</formula>
    </cfRule>
    <cfRule type="expression" dxfId="93" priority="37">
      <formula>#REF!="教學組"</formula>
    </cfRule>
    <cfRule type="expression" dxfId="92" priority="38">
      <formula>#REF!="行政室"</formula>
    </cfRule>
  </conditionalFormatting>
  <conditionalFormatting sqref="U10">
    <cfRule type="expression" dxfId="91" priority="18">
      <formula>$A10="程式組"</formula>
    </cfRule>
    <cfRule type="expression" dxfId="90" priority="19">
      <formula>$A10="網路組"</formula>
    </cfRule>
    <cfRule type="expression" dxfId="89" priority="20">
      <formula>$A10="作業組"</formula>
    </cfRule>
    <cfRule type="expression" dxfId="88" priority="21">
      <formula>$A10="教學組"</formula>
    </cfRule>
    <cfRule type="expression" dxfId="87" priority="22">
      <formula>$A10="行政室"</formula>
    </cfRule>
    <cfRule type="expression" dxfId="86" priority="23">
      <formula>#REF!="程式組"</formula>
    </cfRule>
    <cfRule type="expression" dxfId="85" priority="24">
      <formula>#REF!="網路組"</formula>
    </cfRule>
    <cfRule type="expression" dxfId="84" priority="25">
      <formula>#REF!="作業組"</formula>
    </cfRule>
    <cfRule type="expression" dxfId="83" priority="26">
      <formula>#REF!="教學組"</formula>
    </cfRule>
    <cfRule type="expression" dxfId="82" priority="27">
      <formula>#REF!="行政室"</formula>
    </cfRule>
  </conditionalFormatting>
  <conditionalFormatting sqref="V1">
    <cfRule type="expression" dxfId="81" priority="89">
      <formula>$A1="程式組"</formula>
    </cfRule>
    <cfRule type="expression" dxfId="80" priority="90">
      <formula>$A1="網路組"</formula>
    </cfRule>
    <cfRule type="expression" dxfId="79" priority="91">
      <formula>$A1="作業組"</formula>
    </cfRule>
    <cfRule type="expression" dxfId="78" priority="92">
      <formula>$A1="教學組"</formula>
    </cfRule>
    <cfRule type="expression" dxfId="77" priority="93">
      <formula>$A1="行政室"</formula>
    </cfRule>
    <cfRule type="expression" dxfId="76" priority="94">
      <formula>#REF!="程式組"</formula>
    </cfRule>
    <cfRule type="expression" dxfId="75" priority="95">
      <formula>#REF!="網路組"</formula>
    </cfRule>
    <cfRule type="expression" dxfId="74" priority="96">
      <formula>#REF!="作業組"</formula>
    </cfRule>
    <cfRule type="expression" dxfId="73" priority="97">
      <formula>#REF!="教學組"</formula>
    </cfRule>
    <cfRule type="expression" dxfId="72" priority="98">
      <formula>#REF!="行政室"</formula>
    </cfRule>
  </conditionalFormatting>
  <conditionalFormatting sqref="X1">
    <cfRule type="expression" dxfId="71" priority="79">
      <formula>$A1="程式組"</formula>
    </cfRule>
    <cfRule type="expression" dxfId="70" priority="80">
      <formula>$A1="網路組"</formula>
    </cfRule>
    <cfRule type="expression" dxfId="69" priority="81">
      <formula>$A1="作業組"</formula>
    </cfRule>
    <cfRule type="expression" dxfId="68" priority="82">
      <formula>$A1="教學組"</formula>
    </cfRule>
    <cfRule type="expression" dxfId="67" priority="83">
      <formula>$A1="行政室"</formula>
    </cfRule>
    <cfRule type="expression" dxfId="66" priority="84">
      <formula>#REF!="程式組"</formula>
    </cfRule>
    <cfRule type="expression" dxfId="65" priority="85">
      <formula>#REF!="網路組"</formula>
    </cfRule>
    <cfRule type="expression" dxfId="64" priority="86">
      <formula>#REF!="作業組"</formula>
    </cfRule>
    <cfRule type="expression" dxfId="63" priority="87">
      <formula>#REF!="教學組"</formula>
    </cfRule>
    <cfRule type="expression" dxfId="62" priority="88">
      <formula>#REF!="行政室"</formula>
    </cfRule>
  </conditionalFormatting>
  <conditionalFormatting sqref="E1:E10">
    <cfRule type="expression" dxfId="61" priority="11">
      <formula>#REF!="程式組"</formula>
    </cfRule>
    <cfRule type="expression" dxfId="60" priority="12">
      <formula>#REF!="網路組"</formula>
    </cfRule>
  </conditionalFormatting>
  <conditionalFormatting sqref="E1:E21">
    <cfRule type="expression" dxfId="59" priority="13">
      <formula>#REF!="作業組"</formula>
    </cfRule>
    <cfRule type="expression" dxfId="58" priority="14">
      <formula>#REF!="教學組"</formula>
    </cfRule>
    <cfRule type="expression" dxfId="57" priority="15">
      <formula>#REF!="行政室"</formula>
    </cfRule>
  </conditionalFormatting>
  <conditionalFormatting sqref="E11:E21">
    <cfRule type="expression" dxfId="56" priority="16">
      <formula>#REF!="程式組"</formula>
    </cfRule>
    <cfRule type="expression" dxfId="55" priority="17">
      <formula>#REF!="網路組"</formula>
    </cfRule>
  </conditionalFormatting>
  <conditionalFormatting sqref="E1:E1048576">
    <cfRule type="expression" dxfId="54" priority="6">
      <formula>$A1="程式組"</formula>
    </cfRule>
    <cfRule type="expression" dxfId="53" priority="7">
      <formula>$A1="網路組"</formula>
    </cfRule>
    <cfRule type="expression" dxfId="52" priority="8">
      <formula>$A1="作業組"</formula>
    </cfRule>
    <cfRule type="expression" dxfId="51" priority="9">
      <formula>$A1="教學組"</formula>
    </cfRule>
    <cfRule type="expression" dxfId="50" priority="10">
      <formula>$A1="行政室"</formula>
    </cfRule>
  </conditionalFormatting>
  <conditionalFormatting sqref="E35">
    <cfRule type="expression" dxfId="49" priority="1">
      <formula>#REF!="作業組"</formula>
    </cfRule>
    <cfRule type="expression" dxfId="48" priority="2">
      <formula>#REF!="教學組"</formula>
    </cfRule>
    <cfRule type="expression" dxfId="47" priority="3">
      <formula>#REF!="行政室"</formula>
    </cfRule>
  </conditionalFormatting>
  <conditionalFormatting sqref="E35">
    <cfRule type="expression" dxfId="46" priority="4">
      <formula>#REF!="程式組"</formula>
    </cfRule>
    <cfRule type="expression" dxfId="45" priority="5">
      <formula>#REF!="網路組"</formula>
    </cfRule>
  </conditionalFormatting>
  <dataValidations count="1">
    <dataValidation type="list" allowBlank="1" showInputMessage="1" showErrorMessage="1" sqref="U2" xr:uid="{CEC6EA74-E59C-44FF-87A8-61F594E1895E}">
      <formula1>$A:$A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7C77-3E85-4B30-8E1A-959C733BEB5A}">
  <dimension ref="A1:P68"/>
  <sheetViews>
    <sheetView workbookViewId="0">
      <selection activeCell="A4" sqref="A4"/>
    </sheetView>
  </sheetViews>
  <sheetFormatPr defaultColWidth="8.83203125" defaultRowHeight="16.75" x14ac:dyDescent="0.45"/>
  <cols>
    <col min="1" max="1" width="8.83203125" style="143"/>
    <col min="2" max="2" width="8.5" style="99" customWidth="1"/>
    <col min="3" max="3" width="10.9140625" style="23" customWidth="1"/>
    <col min="4" max="4" width="15.83203125" style="99" customWidth="1"/>
    <col min="5" max="5" width="6.08203125" style="23" customWidth="1"/>
    <col min="6" max="7" width="8.83203125" style="23"/>
    <col min="8" max="8" width="9.25" style="23" bestFit="1" customWidth="1"/>
    <col min="9" max="9" width="8.83203125" style="133"/>
    <col min="10" max="10" width="23.25" style="23" bestFit="1" customWidth="1"/>
    <col min="11" max="12" width="8.83203125" style="23"/>
    <col min="13" max="13" width="15.58203125" style="23" customWidth="1"/>
    <col min="14" max="14" width="8.83203125" style="23"/>
    <col min="15" max="15" width="23.25" style="23" bestFit="1" customWidth="1"/>
    <col min="16" max="16" width="19.9140625" style="23" customWidth="1"/>
    <col min="17" max="16384" width="8.83203125" style="23"/>
  </cols>
  <sheetData>
    <row r="1" spans="1:16" ht="30" x14ac:dyDescent="0.4">
      <c r="A1" s="33" t="s">
        <v>623</v>
      </c>
      <c r="B1" s="33" t="s">
        <v>623</v>
      </c>
      <c r="C1" s="112" t="s">
        <v>622</v>
      </c>
      <c r="D1" s="33" t="s">
        <v>625</v>
      </c>
      <c r="E1" s="33" t="s">
        <v>822</v>
      </c>
      <c r="H1" s="134" t="s">
        <v>838</v>
      </c>
      <c r="I1" s="132" t="str" cm="1">
        <f t="array" ref="I1:I7">_xlfn.UNIQUE(A:A)</f>
        <v>組別</v>
      </c>
      <c r="J1" s="132" t="str" cm="1">
        <f t="array" ref="J1:J16">_xlfn.UNIQUE(staff2!E:E)</f>
        <v>職稱</v>
      </c>
      <c r="M1" s="146" t="s">
        <v>840</v>
      </c>
      <c r="N1" s="147" t="str" cm="1">
        <f t="array" ref="N1:N7">_xlfn._xlws.SORT(_xlfn.UNIQUE(B:B))</f>
        <v>行政室</v>
      </c>
      <c r="O1" s="132" t="str" cm="1">
        <f t="array" ref="O1:O16">_xlfn._xlws.SORT(_xlfn.UNIQUE(staff2!E:E),1,1,FALSE)</f>
        <v>主任</v>
      </c>
      <c r="P1" s="132" cm="1">
        <f t="array" ref="P1:P53">_xlfn._xlws.SORT(_xlfn.UNIQUE(staff2!F:F))</f>
        <v>55448</v>
      </c>
    </row>
    <row r="2" spans="1:16" x14ac:dyDescent="0.45">
      <c r="A2" s="138" t="s">
        <v>632</v>
      </c>
      <c r="B2" s="139" t="s">
        <v>632</v>
      </c>
      <c r="C2" s="37" t="s">
        <v>816</v>
      </c>
      <c r="D2" s="144" t="s">
        <v>634</v>
      </c>
      <c r="E2" s="23">
        <v>1</v>
      </c>
      <c r="I2" s="133" t="str">
        <v>行政室</v>
      </c>
      <c r="J2" s="23" t="str">
        <v>主任</v>
      </c>
      <c r="N2" s="23" t="str">
        <v>作業組</v>
      </c>
      <c r="O2" s="23" t="str">
        <v>全職工讀生</v>
      </c>
      <c r="P2" s="23">
        <v>65001</v>
      </c>
    </row>
    <row r="3" spans="1:16" x14ac:dyDescent="0.45">
      <c r="A3" s="138" t="s">
        <v>632</v>
      </c>
      <c r="B3" s="139" t="s">
        <v>658</v>
      </c>
      <c r="C3" s="37" t="s">
        <v>817</v>
      </c>
      <c r="D3" s="57" t="s">
        <v>641</v>
      </c>
      <c r="E3" s="23">
        <v>2</v>
      </c>
      <c r="I3" s="133" t="str">
        <v>教學組</v>
      </c>
      <c r="J3" s="23" t="str">
        <v>幹事</v>
      </c>
      <c r="N3" s="23" t="str">
        <v>教學組</v>
      </c>
      <c r="O3" s="23" t="str">
        <v>技士</v>
      </c>
      <c r="P3" s="23">
        <v>65002</v>
      </c>
    </row>
    <row r="4" spans="1:16" x14ac:dyDescent="0.45">
      <c r="A4" s="138" t="s">
        <v>632</v>
      </c>
      <c r="B4" s="139" t="s">
        <v>673</v>
      </c>
      <c r="C4" s="37" t="s">
        <v>818</v>
      </c>
      <c r="D4" s="60" t="s">
        <v>645</v>
      </c>
      <c r="E4" s="23">
        <v>3</v>
      </c>
      <c r="I4" s="133" t="str">
        <v>作業組</v>
      </c>
      <c r="J4" s="23" t="str">
        <v>編審</v>
      </c>
      <c r="N4" s="149" t="str">
        <v>組別</v>
      </c>
      <c r="O4" s="23" t="str">
        <v>技工</v>
      </c>
      <c r="P4" s="23">
        <v>65003</v>
      </c>
    </row>
    <row r="5" spans="1:16" x14ac:dyDescent="0.45">
      <c r="A5" s="138" t="s">
        <v>632</v>
      </c>
      <c r="B5" s="139" t="s">
        <v>707</v>
      </c>
      <c r="C5" s="37" t="s">
        <v>819</v>
      </c>
      <c r="D5" s="60" t="s">
        <v>649</v>
      </c>
      <c r="E5" s="23">
        <v>4</v>
      </c>
      <c r="I5" s="133" t="str">
        <v>網路組</v>
      </c>
      <c r="J5" s="23" t="str">
        <v>副理</v>
      </c>
      <c r="N5" s="23" t="str">
        <v>程式組</v>
      </c>
      <c r="O5" s="23" t="str">
        <v>技正</v>
      </c>
      <c r="P5" s="23">
        <v>65004</v>
      </c>
    </row>
    <row r="6" spans="1:16" x14ac:dyDescent="0.45">
      <c r="A6" s="138" t="s">
        <v>632</v>
      </c>
      <c r="B6" s="139" t="s">
        <v>751</v>
      </c>
      <c r="C6" s="37" t="s">
        <v>820</v>
      </c>
      <c r="D6" s="60" t="s">
        <v>653</v>
      </c>
      <c r="E6" s="23">
        <v>5</v>
      </c>
      <c r="I6" s="133" t="str">
        <v>程式組</v>
      </c>
      <c r="J6" s="23" t="str">
        <v>全職工讀生</v>
      </c>
      <c r="N6" s="23" t="str">
        <v>網路組</v>
      </c>
      <c r="O6" s="23" t="str">
        <v>系統分析設計師</v>
      </c>
      <c r="P6" s="23">
        <v>65005</v>
      </c>
    </row>
    <row r="7" spans="1:16" x14ac:dyDescent="0.45">
      <c r="A7" s="138" t="s">
        <v>658</v>
      </c>
      <c r="B7" s="23"/>
      <c r="D7" s="60" t="s">
        <v>660</v>
      </c>
      <c r="E7" s="23">
        <v>6</v>
      </c>
      <c r="I7" s="133">
        <v>0</v>
      </c>
      <c r="J7" s="23" t="str">
        <v>組長</v>
      </c>
      <c r="N7" s="23">
        <v>0</v>
      </c>
      <c r="O7" s="23" t="str">
        <v>研究助理</v>
      </c>
      <c r="P7" s="23">
        <v>65006</v>
      </c>
    </row>
    <row r="8" spans="1:16" x14ac:dyDescent="0.45">
      <c r="A8" s="138" t="s">
        <v>658</v>
      </c>
      <c r="B8" s="23"/>
      <c r="D8" s="145" t="s">
        <v>664</v>
      </c>
      <c r="E8" s="23">
        <v>7</v>
      </c>
      <c r="J8" s="23" t="str">
        <v>經理</v>
      </c>
      <c r="O8" s="23" t="str">
        <v>計畫研究專員</v>
      </c>
      <c r="P8" s="23">
        <v>65008</v>
      </c>
    </row>
    <row r="9" spans="1:16" x14ac:dyDescent="0.45">
      <c r="A9" s="138" t="s">
        <v>658</v>
      </c>
      <c r="B9" s="23"/>
      <c r="D9" s="60" t="s">
        <v>712</v>
      </c>
      <c r="E9" s="23">
        <v>8</v>
      </c>
      <c r="J9" s="23" t="str">
        <v>程式設計師</v>
      </c>
      <c r="O9" s="148" t="str">
        <v>副理</v>
      </c>
      <c r="P9" s="23">
        <v>65009</v>
      </c>
    </row>
    <row r="10" spans="1:16" x14ac:dyDescent="0.45">
      <c r="A10" s="138" t="s">
        <v>658</v>
      </c>
      <c r="B10" s="23"/>
      <c r="D10" s="60" t="s">
        <v>719</v>
      </c>
      <c r="E10" s="23">
        <v>9</v>
      </c>
      <c r="J10" s="23" t="str">
        <v>技正</v>
      </c>
      <c r="O10" s="23" t="str">
        <v>組長</v>
      </c>
      <c r="P10" s="23">
        <v>65010</v>
      </c>
    </row>
    <row r="11" spans="1:16" x14ac:dyDescent="0.45">
      <c r="A11" s="138" t="s">
        <v>673</v>
      </c>
      <c r="B11" s="23"/>
      <c r="D11" s="60" t="s">
        <v>729</v>
      </c>
      <c r="E11" s="23">
        <v>10</v>
      </c>
      <c r="J11" s="23" t="str">
        <v>研究助理</v>
      </c>
      <c r="O11" s="23" t="str">
        <v>程式設計師</v>
      </c>
      <c r="P11" s="23">
        <v>65011</v>
      </c>
    </row>
    <row r="12" spans="1:16" x14ac:dyDescent="0.45">
      <c r="A12" s="138" t="s">
        <v>673</v>
      </c>
      <c r="B12" s="23"/>
      <c r="D12" s="60" t="s">
        <v>736</v>
      </c>
      <c r="E12" s="23">
        <v>11</v>
      </c>
      <c r="J12" s="23" t="str">
        <v>計畫研究專員</v>
      </c>
      <c r="O12" s="23" t="str">
        <v>幹事</v>
      </c>
      <c r="P12" s="23">
        <v>65012</v>
      </c>
    </row>
    <row r="13" spans="1:16" x14ac:dyDescent="0.45">
      <c r="A13" s="138" t="s">
        <v>673</v>
      </c>
      <c r="B13" s="23"/>
      <c r="D13" s="60" t="s">
        <v>740</v>
      </c>
      <c r="E13" s="23">
        <v>12</v>
      </c>
      <c r="J13" s="23" t="str">
        <v>技工</v>
      </c>
      <c r="O13" s="23" t="str">
        <v>經理</v>
      </c>
      <c r="P13" s="23">
        <v>65013</v>
      </c>
    </row>
    <row r="14" spans="1:16" x14ac:dyDescent="0.45">
      <c r="A14" s="138" t="s">
        <v>673</v>
      </c>
      <c r="B14" s="23"/>
      <c r="D14" s="144" t="s">
        <v>766</v>
      </c>
      <c r="J14" s="23">
        <v>0</v>
      </c>
      <c r="O14" s="23" t="str">
        <v>編審</v>
      </c>
      <c r="P14" s="23">
        <v>65015</v>
      </c>
    </row>
    <row r="15" spans="1:16" ht="30" x14ac:dyDescent="0.45">
      <c r="A15" s="138" t="s">
        <v>673</v>
      </c>
      <c r="B15" s="23"/>
      <c r="D15" s="60" t="s">
        <v>805</v>
      </c>
      <c r="J15" s="23" t="str">
        <v>技士</v>
      </c>
      <c r="O15" s="149" t="str">
        <v>職稱</v>
      </c>
      <c r="P15" s="23">
        <v>65016</v>
      </c>
    </row>
    <row r="16" spans="1:16" x14ac:dyDescent="0.45">
      <c r="A16" s="138" t="s">
        <v>673</v>
      </c>
      <c r="B16" s="23"/>
      <c r="J16" s="23" t="str">
        <v>系統分析設計師</v>
      </c>
      <c r="O16" s="23">
        <v>0</v>
      </c>
      <c r="P16" s="23">
        <v>65022</v>
      </c>
    </row>
    <row r="17" spans="1:16" x14ac:dyDescent="0.45">
      <c r="A17" s="138" t="s">
        <v>673</v>
      </c>
      <c r="B17" s="23"/>
      <c r="P17" s="148">
        <v>65025</v>
      </c>
    </row>
    <row r="18" spans="1:16" x14ac:dyDescent="0.45">
      <c r="A18" s="138" t="s">
        <v>673</v>
      </c>
      <c r="B18" s="23"/>
      <c r="P18" s="23">
        <v>65026</v>
      </c>
    </row>
    <row r="19" spans="1:16" x14ac:dyDescent="0.45">
      <c r="A19" s="138" t="s">
        <v>673</v>
      </c>
      <c r="B19" s="23"/>
      <c r="P19" s="23">
        <v>65031</v>
      </c>
    </row>
    <row r="20" spans="1:16" x14ac:dyDescent="0.45">
      <c r="A20" s="138" t="s">
        <v>673</v>
      </c>
      <c r="B20" s="23"/>
      <c r="D20"/>
      <c r="P20" s="23">
        <v>65032</v>
      </c>
    </row>
    <row r="21" spans="1:16" x14ac:dyDescent="0.45">
      <c r="A21" s="138" t="s">
        <v>673</v>
      </c>
      <c r="B21" s="23"/>
      <c r="D21"/>
      <c r="P21" s="23">
        <v>65034</v>
      </c>
    </row>
    <row r="22" spans="1:16" x14ac:dyDescent="0.45">
      <c r="A22" s="138" t="s">
        <v>707</v>
      </c>
      <c r="B22" s="23"/>
      <c r="D22"/>
      <c r="P22" s="23">
        <v>65035</v>
      </c>
    </row>
    <row r="23" spans="1:16" x14ac:dyDescent="0.45">
      <c r="A23" s="138" t="s">
        <v>707</v>
      </c>
      <c r="B23" s="23"/>
      <c r="D23"/>
      <c r="P23" s="23">
        <v>65037</v>
      </c>
    </row>
    <row r="24" spans="1:16" x14ac:dyDescent="0.45">
      <c r="A24" s="138" t="s">
        <v>707</v>
      </c>
      <c r="B24" s="23"/>
      <c r="D24"/>
      <c r="P24" s="23">
        <v>65039</v>
      </c>
    </row>
    <row r="25" spans="1:16" x14ac:dyDescent="0.45">
      <c r="A25" s="138" t="s">
        <v>707</v>
      </c>
      <c r="B25" s="23"/>
      <c r="D25"/>
      <c r="P25" s="23">
        <v>65040</v>
      </c>
    </row>
    <row r="26" spans="1:16" x14ac:dyDescent="0.45">
      <c r="A26" s="138" t="s">
        <v>707</v>
      </c>
      <c r="B26" s="23"/>
      <c r="D26"/>
      <c r="P26" s="23">
        <v>65041</v>
      </c>
    </row>
    <row r="27" spans="1:16" x14ac:dyDescent="0.45">
      <c r="A27" s="138" t="s">
        <v>707</v>
      </c>
      <c r="B27" s="23"/>
      <c r="D27"/>
      <c r="P27" s="23">
        <v>65042</v>
      </c>
    </row>
    <row r="28" spans="1:16" x14ac:dyDescent="0.45">
      <c r="A28" s="138" t="s">
        <v>707</v>
      </c>
      <c r="B28" s="23"/>
      <c r="D28"/>
      <c r="P28" s="23">
        <v>65046</v>
      </c>
    </row>
    <row r="29" spans="1:16" x14ac:dyDescent="0.45">
      <c r="A29" s="138" t="s">
        <v>707</v>
      </c>
      <c r="B29" s="23"/>
      <c r="D29"/>
      <c r="P29" s="23">
        <v>65047</v>
      </c>
    </row>
    <row r="30" spans="1:16" x14ac:dyDescent="0.45">
      <c r="A30" s="138" t="s">
        <v>707</v>
      </c>
      <c r="B30" s="23"/>
      <c r="D30"/>
      <c r="P30" s="23">
        <v>65048</v>
      </c>
    </row>
    <row r="31" spans="1:16" x14ac:dyDescent="0.45">
      <c r="A31" s="138" t="s">
        <v>707</v>
      </c>
      <c r="B31" s="23"/>
      <c r="D31"/>
      <c r="P31" s="23">
        <v>65049</v>
      </c>
    </row>
    <row r="32" spans="1:16" x14ac:dyDescent="0.45">
      <c r="A32" s="138" t="s">
        <v>707</v>
      </c>
      <c r="B32" s="23"/>
      <c r="D32"/>
      <c r="P32" s="23">
        <v>65050</v>
      </c>
    </row>
    <row r="33" spans="1:16" x14ac:dyDescent="0.45">
      <c r="A33" s="138" t="s">
        <v>707</v>
      </c>
      <c r="B33" s="23"/>
      <c r="D33"/>
      <c r="P33" s="23">
        <v>65054</v>
      </c>
    </row>
    <row r="34" spans="1:16" x14ac:dyDescent="0.45">
      <c r="A34" s="138" t="s">
        <v>751</v>
      </c>
      <c r="B34" s="23"/>
      <c r="D34"/>
      <c r="P34" s="23">
        <v>65056</v>
      </c>
    </row>
    <row r="35" spans="1:16" x14ac:dyDescent="0.45">
      <c r="A35" s="138" t="s">
        <v>751</v>
      </c>
      <c r="B35" s="23"/>
      <c r="D35"/>
      <c r="P35" s="23">
        <v>65059</v>
      </c>
    </row>
    <row r="36" spans="1:16" x14ac:dyDescent="0.45">
      <c r="A36" s="138" t="s">
        <v>751</v>
      </c>
      <c r="B36" s="23"/>
      <c r="D36"/>
      <c r="P36" s="23">
        <v>65510</v>
      </c>
    </row>
    <row r="37" spans="1:16" x14ac:dyDescent="0.45">
      <c r="A37" s="138" t="s">
        <v>751</v>
      </c>
      <c r="B37" s="23"/>
      <c r="D37"/>
      <c r="P37" s="23">
        <v>65512</v>
      </c>
    </row>
    <row r="38" spans="1:16" x14ac:dyDescent="0.45">
      <c r="A38" s="138" t="s">
        <v>751</v>
      </c>
      <c r="B38" s="23"/>
      <c r="D38"/>
      <c r="P38" s="23">
        <v>65513</v>
      </c>
    </row>
    <row r="39" spans="1:16" x14ac:dyDescent="0.45">
      <c r="A39" s="138" t="s">
        <v>751</v>
      </c>
      <c r="B39" s="23"/>
      <c r="D39"/>
      <c r="P39" s="23">
        <v>65514</v>
      </c>
    </row>
    <row r="40" spans="1:16" x14ac:dyDescent="0.45">
      <c r="A40" s="138" t="s">
        <v>751</v>
      </c>
      <c r="B40" s="23"/>
      <c r="D40"/>
      <c r="P40" s="23">
        <v>65515</v>
      </c>
    </row>
    <row r="41" spans="1:16" x14ac:dyDescent="0.45">
      <c r="A41" s="138" t="s">
        <v>751</v>
      </c>
      <c r="B41" s="23"/>
      <c r="D41"/>
      <c r="P41" s="23">
        <v>65516</v>
      </c>
    </row>
    <row r="42" spans="1:16" x14ac:dyDescent="0.45">
      <c r="A42" s="138" t="s">
        <v>751</v>
      </c>
      <c r="B42" s="23"/>
      <c r="D42"/>
      <c r="P42" s="23">
        <v>65517</v>
      </c>
    </row>
    <row r="43" spans="1:16" x14ac:dyDescent="0.45">
      <c r="A43" s="138" t="s">
        <v>751</v>
      </c>
      <c r="B43" s="23"/>
      <c r="D43"/>
      <c r="P43" s="23">
        <v>65518</v>
      </c>
    </row>
    <row r="44" spans="1:16" x14ac:dyDescent="0.45">
      <c r="A44" s="138" t="s">
        <v>751</v>
      </c>
      <c r="B44" s="23"/>
      <c r="D44"/>
      <c r="P44" s="23">
        <v>65519</v>
      </c>
    </row>
    <row r="45" spans="1:16" x14ac:dyDescent="0.45">
      <c r="A45" s="139" t="s">
        <v>751</v>
      </c>
      <c r="B45" s="23"/>
      <c r="D45"/>
      <c r="P45" s="23">
        <v>65520</v>
      </c>
    </row>
    <row r="46" spans="1:16" x14ac:dyDescent="0.45">
      <c r="A46" s="139" t="s">
        <v>751</v>
      </c>
      <c r="B46" s="23"/>
      <c r="D46"/>
      <c r="P46" s="23">
        <v>65521</v>
      </c>
    </row>
    <row r="47" spans="1:16" x14ac:dyDescent="0.45">
      <c r="A47" s="139" t="s">
        <v>751</v>
      </c>
      <c r="B47" s="23"/>
      <c r="D47"/>
      <c r="P47" s="23">
        <v>65522</v>
      </c>
    </row>
    <row r="48" spans="1:16" x14ac:dyDescent="0.45">
      <c r="A48" s="140" t="s">
        <v>751</v>
      </c>
      <c r="B48" s="23"/>
      <c r="D48"/>
      <c r="P48" s="23">
        <v>65523</v>
      </c>
    </row>
    <row r="49" spans="1:16" x14ac:dyDescent="0.45">
      <c r="A49" s="139" t="s">
        <v>751</v>
      </c>
      <c r="B49" s="23"/>
      <c r="D49"/>
      <c r="P49" s="23">
        <v>65524</v>
      </c>
    </row>
    <row r="50" spans="1:16" x14ac:dyDescent="0.45">
      <c r="A50" s="139" t="s">
        <v>751</v>
      </c>
      <c r="B50" s="23"/>
      <c r="D50"/>
      <c r="P50" s="23">
        <v>69869</v>
      </c>
    </row>
    <row r="51" spans="1:16" x14ac:dyDescent="0.45">
      <c r="A51" s="139" t="s">
        <v>751</v>
      </c>
      <c r="B51" s="23"/>
      <c r="D51"/>
      <c r="P51" s="149" t="str">
        <v>電話</v>
      </c>
    </row>
    <row r="52" spans="1:16" x14ac:dyDescent="0.45">
      <c r="A52" s="139" t="s">
        <v>751</v>
      </c>
      <c r="B52" s="23"/>
      <c r="D52"/>
      <c r="P52" s="23" t="str">
        <v>撥63366再撥9</v>
      </c>
    </row>
    <row r="53" spans="1:16" x14ac:dyDescent="0.45">
      <c r="A53" s="139" t="s">
        <v>751</v>
      </c>
      <c r="B53" s="23"/>
      <c r="D53"/>
      <c r="P53" s="23">
        <v>0</v>
      </c>
    </row>
    <row r="54" spans="1:16" x14ac:dyDescent="0.45">
      <c r="A54" s="139" t="s">
        <v>751</v>
      </c>
      <c r="B54" s="23"/>
      <c r="D54"/>
    </row>
    <row r="55" spans="1:16" x14ac:dyDescent="0.45">
      <c r="A55" s="139"/>
      <c r="B55" s="23"/>
      <c r="D55"/>
    </row>
    <row r="56" spans="1:16" x14ac:dyDescent="0.45">
      <c r="A56" s="139"/>
      <c r="B56" s="23"/>
      <c r="D56"/>
    </row>
    <row r="57" spans="1:16" x14ac:dyDescent="0.45">
      <c r="A57" s="139"/>
      <c r="B57" s="23"/>
      <c r="D57"/>
    </row>
    <row r="58" spans="1:16" x14ac:dyDescent="0.45">
      <c r="A58" s="139"/>
      <c r="B58" s="23"/>
      <c r="D58"/>
    </row>
    <row r="59" spans="1:16" x14ac:dyDescent="0.45">
      <c r="A59" s="139"/>
      <c r="B59" s="23"/>
      <c r="D59"/>
    </row>
    <row r="60" spans="1:16" x14ac:dyDescent="0.45">
      <c r="A60" s="141"/>
      <c r="B60" s="23"/>
      <c r="D60"/>
    </row>
    <row r="61" spans="1:16" x14ac:dyDescent="0.45">
      <c r="A61" s="142"/>
      <c r="B61" s="23"/>
      <c r="D61"/>
    </row>
    <row r="62" spans="1:16" x14ac:dyDescent="0.45">
      <c r="A62" s="142"/>
      <c r="B62" s="23"/>
      <c r="D62"/>
    </row>
    <row r="63" spans="1:16" x14ac:dyDescent="0.45">
      <c r="A63" s="142"/>
      <c r="B63" s="23"/>
      <c r="D63"/>
    </row>
    <row r="64" spans="1:16" x14ac:dyDescent="0.45">
      <c r="A64" s="142"/>
      <c r="B64" s="23"/>
      <c r="D64"/>
    </row>
    <row r="65" spans="1:4" x14ac:dyDescent="0.45">
      <c r="A65" s="142"/>
      <c r="B65" s="23"/>
      <c r="D65"/>
    </row>
    <row r="66" spans="1:4" x14ac:dyDescent="0.45">
      <c r="A66" s="142"/>
      <c r="B66" s="23"/>
      <c r="D66"/>
    </row>
    <row r="67" spans="1:4" x14ac:dyDescent="0.45">
      <c r="B67" s="23"/>
      <c r="D67"/>
    </row>
    <row r="68" spans="1:4" x14ac:dyDescent="0.45">
      <c r="B68" s="23"/>
      <c r="D68"/>
    </row>
  </sheetData>
  <phoneticPr fontId="14" type="noConversion"/>
  <conditionalFormatting sqref="A1:A1048576">
    <cfRule type="expression" dxfId="44" priority="26">
      <formula>$A1="程式組"</formula>
    </cfRule>
    <cfRule type="expression" dxfId="43" priority="27">
      <formula>$A1="網路組"</formula>
    </cfRule>
    <cfRule type="expression" dxfId="42" priority="28">
      <formula>$A1="作業組"</formula>
    </cfRule>
    <cfRule type="expression" dxfId="41" priority="29">
      <formula>$A1="教學組"</formula>
    </cfRule>
    <cfRule type="expression" dxfId="40" priority="30">
      <formula>$A1="行政室"</formula>
    </cfRule>
  </conditionalFormatting>
  <conditionalFormatting sqref="B1:B6">
    <cfRule type="expression" dxfId="39" priority="345">
      <formula>$A1="程式組"</formula>
    </cfRule>
    <cfRule type="expression" dxfId="38" priority="346">
      <formula>$A1="網路組"</formula>
    </cfRule>
    <cfRule type="expression" dxfId="37" priority="347">
      <formula>$A1="作業組"</formula>
    </cfRule>
    <cfRule type="expression" dxfId="36" priority="348">
      <formula>$A1="教學組"</formula>
    </cfRule>
    <cfRule type="expression" dxfId="35" priority="349">
      <formula>$A1="行政室"</formula>
    </cfRule>
    <cfRule type="expression" dxfId="34" priority="350">
      <formula>$L1="程式組"</formula>
    </cfRule>
    <cfRule type="expression" dxfId="33" priority="351">
      <formula>$L1="網路組"</formula>
    </cfRule>
    <cfRule type="expression" dxfId="32" priority="352">
      <formula>$L1="作業組"</formula>
    </cfRule>
    <cfRule type="expression" dxfId="31" priority="353">
      <formula>$L1="教學組"</formula>
    </cfRule>
    <cfRule type="expression" dxfId="30" priority="354">
      <formula>$L1="行政室"</formula>
    </cfRule>
  </conditionalFormatting>
  <conditionalFormatting sqref="I1:J1">
    <cfRule type="expression" dxfId="29" priority="355">
      <formula>$A2="程式組"</formula>
    </cfRule>
    <cfRule type="expression" dxfId="28" priority="356">
      <formula>$A2="網路組"</formula>
    </cfRule>
    <cfRule type="expression" dxfId="27" priority="357">
      <formula>$A2="作業組"</formula>
    </cfRule>
    <cfRule type="expression" dxfId="26" priority="358">
      <formula>$A2="教學組"</formula>
    </cfRule>
    <cfRule type="expression" dxfId="25" priority="359">
      <formula>$A2="行政室"</formula>
    </cfRule>
    <cfRule type="expression" dxfId="24" priority="360">
      <formula>$L2="程式組"</formula>
    </cfRule>
    <cfRule type="expression" dxfId="23" priority="361">
      <formula>$L2="網路組"</formula>
    </cfRule>
    <cfRule type="expression" dxfId="22" priority="362">
      <formula>$L2="作業組"</formula>
    </cfRule>
    <cfRule type="expression" dxfId="21" priority="363">
      <formula>$L2="教學組"</formula>
    </cfRule>
    <cfRule type="expression" dxfId="20" priority="364">
      <formula>$L2="行政室"</formula>
    </cfRule>
  </conditionalFormatting>
  <conditionalFormatting sqref="N1:O1">
    <cfRule type="expression" dxfId="19" priority="11">
      <formula>$A2="程式組"</formula>
    </cfRule>
    <cfRule type="expression" dxfId="18" priority="12">
      <formula>$A2="網路組"</formula>
    </cfRule>
    <cfRule type="expression" dxfId="17" priority="13">
      <formula>$A2="作業組"</formula>
    </cfRule>
    <cfRule type="expression" dxfId="16" priority="14">
      <formula>$A2="教學組"</formula>
    </cfRule>
    <cfRule type="expression" dxfId="15" priority="15">
      <formula>$A2="行政室"</formula>
    </cfRule>
    <cfRule type="expression" dxfId="14" priority="16">
      <formula>$L2="程式組"</formula>
    </cfRule>
    <cfRule type="expression" dxfId="13" priority="17">
      <formula>$L2="網路組"</formula>
    </cfRule>
    <cfRule type="expression" dxfId="12" priority="18">
      <formula>$L2="作業組"</formula>
    </cfRule>
    <cfRule type="expression" dxfId="11" priority="19">
      <formula>$L2="教學組"</formula>
    </cfRule>
    <cfRule type="expression" dxfId="10" priority="20">
      <formula>$L2="行政室"</formula>
    </cfRule>
  </conditionalFormatting>
  <conditionalFormatting sqref="P1">
    <cfRule type="expression" dxfId="9" priority="1">
      <formula>$A2="程式組"</formula>
    </cfRule>
    <cfRule type="expression" dxfId="8" priority="2">
      <formula>$A2="網路組"</formula>
    </cfRule>
    <cfRule type="expression" dxfId="7" priority="3">
      <formula>$A2="作業組"</formula>
    </cfRule>
    <cfRule type="expression" dxfId="6" priority="4">
      <formula>$A2="教學組"</formula>
    </cfRule>
    <cfRule type="expression" dxfId="5" priority="5">
      <formula>$A2="行政室"</formula>
    </cfRule>
    <cfRule type="expression" dxfId="4" priority="6">
      <formula>$L2="程式組"</formula>
    </cfRule>
    <cfRule type="expression" dxfId="3" priority="7">
      <formula>$L2="網路組"</formula>
    </cfRule>
    <cfRule type="expression" dxfId="2" priority="8">
      <formula>$L2="作業組"</formula>
    </cfRule>
    <cfRule type="expression" dxfId="1" priority="9">
      <formula>$L2="教學組"</formula>
    </cfRule>
    <cfRule type="expression" dxfId="0" priority="10">
      <formula>$L2="行政室"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opLeftCell="A31" workbookViewId="0">
      <selection activeCell="A34" sqref="A34"/>
    </sheetView>
  </sheetViews>
  <sheetFormatPr defaultColWidth="8.6640625" defaultRowHeight="15.45" x14ac:dyDescent="0.4"/>
  <cols>
    <col min="1" max="1" width="35.58203125" customWidth="1"/>
    <col min="2" max="2" width="32.6640625" customWidth="1"/>
  </cols>
  <sheetData>
    <row r="1" spans="1:2" ht="70.75" x14ac:dyDescent="0.4">
      <c r="A1" s="3" t="s">
        <v>0</v>
      </c>
    </row>
    <row r="2" spans="1:2" x14ac:dyDescent="0.4">
      <c r="A2" s="4" t="s">
        <v>1</v>
      </c>
    </row>
    <row r="4" spans="1:2" ht="25.3" x14ac:dyDescent="0.4">
      <c r="A4" s="18" t="s">
        <v>40</v>
      </c>
    </row>
    <row r="6" spans="1:2" ht="25.3" x14ac:dyDescent="0.4">
      <c r="A6" s="6" t="s">
        <v>2</v>
      </c>
    </row>
    <row r="7" spans="1:2" ht="375.9" customHeight="1" x14ac:dyDescent="0.4">
      <c r="A7" s="6"/>
    </row>
    <row r="8" spans="1:2" ht="25.3" x14ac:dyDescent="0.4">
      <c r="A8" s="6"/>
    </row>
    <row r="9" spans="1:2" x14ac:dyDescent="0.4">
      <c r="A9" s="2"/>
    </row>
    <row r="10" spans="1:2" ht="23.15" x14ac:dyDescent="0.4">
      <c r="A10" s="17" t="s">
        <v>3</v>
      </c>
      <c r="B10" s="16" t="s">
        <v>5</v>
      </c>
    </row>
    <row r="11" spans="1:2" ht="22.3" x14ac:dyDescent="0.4">
      <c r="A11" s="7" t="s">
        <v>4</v>
      </c>
    </row>
    <row r="12" spans="1:2" ht="22.3" x14ac:dyDescent="0.4">
      <c r="A12" s="9" t="s">
        <v>6</v>
      </c>
      <c r="B12" s="9" t="s">
        <v>7</v>
      </c>
    </row>
    <row r="13" spans="1:2" ht="22.3" x14ac:dyDescent="0.4">
      <c r="A13" s="10" t="s">
        <v>8</v>
      </c>
      <c r="B13" s="11" t="s">
        <v>10</v>
      </c>
    </row>
    <row r="14" spans="1:2" ht="22.3" x14ac:dyDescent="0.4">
      <c r="A14" s="11" t="s">
        <v>9</v>
      </c>
      <c r="B14" s="11"/>
    </row>
    <row r="15" spans="1:2" ht="22.3" x14ac:dyDescent="0.4">
      <c r="A15" s="12" t="s">
        <v>11</v>
      </c>
      <c r="B15" s="9" t="s">
        <v>12</v>
      </c>
    </row>
    <row r="16" spans="1:2" ht="22.3" x14ac:dyDescent="0.4">
      <c r="A16" s="9" t="s">
        <v>9</v>
      </c>
      <c r="B16" s="9"/>
    </row>
    <row r="17" spans="1:2" ht="22.3" x14ac:dyDescent="0.4">
      <c r="A17" s="10" t="s">
        <v>13</v>
      </c>
      <c r="B17" s="11" t="s">
        <v>15</v>
      </c>
    </row>
    <row r="18" spans="1:2" ht="22.3" x14ac:dyDescent="0.4">
      <c r="A18" s="11" t="s">
        <v>14</v>
      </c>
      <c r="B18" s="11"/>
    </row>
    <row r="19" spans="1:2" ht="17.149999999999999" x14ac:dyDescent="0.4">
      <c r="A19" s="13" t="s">
        <v>16</v>
      </c>
    </row>
    <row r="20" spans="1:2" x14ac:dyDescent="0.4">
      <c r="A20" s="14" t="s">
        <v>17</v>
      </c>
    </row>
    <row r="21" spans="1:2" x14ac:dyDescent="0.4">
      <c r="A21" s="14" t="s">
        <v>18</v>
      </c>
    </row>
    <row r="22" spans="1:2" x14ac:dyDescent="0.4">
      <c r="A22" s="15" t="s">
        <v>19</v>
      </c>
    </row>
    <row r="23" spans="1:2" x14ac:dyDescent="0.4">
      <c r="A23" s="14" t="s">
        <v>20</v>
      </c>
    </row>
    <row r="24" spans="1:2" x14ac:dyDescent="0.4">
      <c r="A24" s="15" t="s">
        <v>21</v>
      </c>
    </row>
    <row r="25" spans="1:2" ht="46.3" x14ac:dyDescent="0.4">
      <c r="A25" s="8" t="s">
        <v>22</v>
      </c>
    </row>
    <row r="27" spans="1:2" ht="25.3" x14ac:dyDescent="0.4">
      <c r="A27" s="5" t="s">
        <v>23</v>
      </c>
    </row>
    <row r="29" spans="1:2" ht="25.3" x14ac:dyDescent="0.4">
      <c r="A29" s="6" t="s">
        <v>24</v>
      </c>
    </row>
    <row r="30" spans="1:2" ht="276.89999999999998" customHeight="1" x14ac:dyDescent="0.4">
      <c r="A30" s="6"/>
    </row>
    <row r="31" spans="1:2" ht="25.3" x14ac:dyDescent="0.4">
      <c r="A31" s="6"/>
    </row>
    <row r="32" spans="1:2" ht="25.3" x14ac:dyDescent="0.4">
      <c r="A32" s="5" t="s">
        <v>25</v>
      </c>
    </row>
    <row r="34" spans="1:1" ht="25.3" x14ac:dyDescent="0.4">
      <c r="A34" s="6" t="s">
        <v>26</v>
      </c>
    </row>
    <row r="35" spans="1:1" ht="222.9" customHeight="1" x14ac:dyDescent="0.4">
      <c r="A35" s="6"/>
    </row>
    <row r="36" spans="1:1" ht="25.3" x14ac:dyDescent="0.4">
      <c r="A36" s="6"/>
    </row>
    <row r="38" spans="1:1" ht="25.3" x14ac:dyDescent="0.4">
      <c r="A38" s="6" t="s">
        <v>27</v>
      </c>
    </row>
    <row r="39" spans="1:1" ht="224.15" customHeight="1" x14ac:dyDescent="0.4">
      <c r="A39" s="6"/>
    </row>
    <row r="40" spans="1:1" ht="25.3" x14ac:dyDescent="0.4">
      <c r="A40" s="6"/>
    </row>
    <row r="42" spans="1:1" x14ac:dyDescent="0.4">
      <c r="A42" s="4" t="s">
        <v>28</v>
      </c>
    </row>
    <row r="44" spans="1:1" ht="46.3" x14ac:dyDescent="0.4">
      <c r="A44" s="8" t="s">
        <v>29</v>
      </c>
    </row>
    <row r="46" spans="1:1" ht="25.3" x14ac:dyDescent="0.4">
      <c r="A46" s="6" t="s">
        <v>30</v>
      </c>
    </row>
    <row r="48" spans="1:1" ht="46.3" x14ac:dyDescent="0.4">
      <c r="A48" s="8" t="s">
        <v>31</v>
      </c>
    </row>
    <row r="50" spans="1:1" x14ac:dyDescent="0.4">
      <c r="A50" s="4" t="s">
        <v>32</v>
      </c>
    </row>
    <row r="52" spans="1:1" x14ac:dyDescent="0.4">
      <c r="A52" s="4" t="s">
        <v>33</v>
      </c>
    </row>
    <row r="54" spans="1:1" x14ac:dyDescent="0.4">
      <c r="A54" s="4" t="s">
        <v>34</v>
      </c>
    </row>
    <row r="56" spans="1:1" x14ac:dyDescent="0.4">
      <c r="A56" s="4" t="s">
        <v>35</v>
      </c>
    </row>
    <row r="58" spans="1:1" x14ac:dyDescent="0.4">
      <c r="A58" s="4" t="s">
        <v>36</v>
      </c>
    </row>
    <row r="60" spans="1:1" x14ac:dyDescent="0.4">
      <c r="A60" s="4" t="s">
        <v>37</v>
      </c>
    </row>
    <row r="62" spans="1:1" x14ac:dyDescent="0.4">
      <c r="A62" s="4" t="s">
        <v>38</v>
      </c>
    </row>
    <row r="64" spans="1:1" x14ac:dyDescent="0.4">
      <c r="A64" s="4" t="s">
        <v>39</v>
      </c>
    </row>
  </sheetData>
  <phoneticPr fontId="14" type="noConversion"/>
  <hyperlinks>
    <hyperlink ref="A2" r:id="rId1" display="javascript:" xr:uid="{B335178A-4DF0-4DBE-A9C5-5FD0EB5AA488}"/>
    <hyperlink ref="A22" r:id="rId2" display="https://support.microsoft.com/zh-tw/office/%E5%A6%82%E4%BD%95%E4%BF%AE%E6%AD%A3-calc-%E9%8C%AF%E8%AA%A4-d6ee03c5-daf6-426a-8df5-4b284730ab1b" xr:uid="{68CA3BC5-84DF-410F-BF9F-63B4419D9747}"/>
    <hyperlink ref="A24" r:id="rId3" display="https://support.microsoft.com/zh-tw/office/%E5%A6%82%E4%BD%95%E4%BF%AE%E6%AD%A3-ref-%E9%8C%AF%E8%AA%A4-822c8e46-e610-4d02-bf29-ec4b8c5ff4be" xr:uid="{77E9AE83-DB9A-4402-82FC-DD6E39014BB3}"/>
    <hyperlink ref="A42" r:id="rId4" display="https://support.microsoft.com/zh-tw/office/%E5%9C%A8%E7%9B%B8%E5%B0%8D-%E7%B5%95%E5%B0%8D%E8%88%87%E6%B7%B7%E5%90%88%E5%8F%83%E7%85%A7%E4%B9%8B%E9%96%93%E5%88%87%E6%8F%9B-dfec08cd-ae65-4f56-839e-5f0d8d0baca9" xr:uid="{90AB8786-7785-44C4-B91A-7032EA5F2C22}"/>
    <hyperlink ref="A50" r:id="rId5" display="https://support.microsoft.com/zh-tw/office/randarray-%E5%87%BD%E6%95%B8-21261e55-3bec-4885-86a6-8b0a47fd4d33" xr:uid="{42D1BB5A-4D46-4187-8BE9-B61D6490B872}"/>
    <hyperlink ref="A52" r:id="rId6" display="https://support.microsoft.com/zh-tw/office/sequence-%E5%87%BD%E6%95%B8-57467a98-57e0-4817-9f14-2eb78519ca90" xr:uid="{DF58BD2D-B4A8-46CB-A86A-963FAEA7EBBE}"/>
    <hyperlink ref="A54" r:id="rId7" display="https://support.microsoft.com/zh-tw/office/sort-%E5%87%BD%E6%95%B8-22f63bd0-ccc8-492f-953d-c20e8e44b86c" xr:uid="{3FCC5A59-41FB-4161-AB94-00359A9582ED}"/>
    <hyperlink ref="A56" r:id="rId8" display="https://support.microsoft.com/zh-tw/office/sortby-%E5%87%BD%E6%95%B8-cd2d7a62-1b93-435c-b561-d6a35134f28f" xr:uid="{F89A7C31-72E2-48D2-BC71-0CC451EE7E49}"/>
    <hyperlink ref="A58" r:id="rId9" display="https://support.microsoft.com/zh-tw/office/unique-%E5%87%BD%E6%95%B8-c5ab87fd-30a3-4ce9-9d1a-40204fb85e1e" xr:uid="{299136C0-4C3C-407C-AE64-24094FB79D74}"/>
    <hyperlink ref="A60" r:id="rId10" display="https://support.microsoft.com/zh-tw/office/%E5%A6%82%E4%BD%95%E4%BF%AE%E6%AD%A3-spill-%E9%8C%AF%E8%AA%A4-ffe0f555-b479-4a17-a6e2-ef9cc9ad4023" xr:uid="{CC341D33-EF53-4D74-82A2-1BAE9A739D0B}"/>
    <hyperlink ref="A62" r:id="rId11" display="https://support.microsoft.com/zh-tw/office/%E5%8B%95%E6%85%8B%E9%99%A3%E5%88%97%E5%85%AC%E5%BC%8F%E8%88%87%E6%BA%A2%E5%87%BA%E9%99%A3%E5%88%97%E8%A1%8C%E7%82%BA-205c6b06-03ba-4151-89a1-87a7eb36e531" xr:uid="{33F7A1A5-8B3F-4857-9132-33361E0DB950}"/>
    <hyperlink ref="A64" r:id="rId12" display="https://support.microsoft.com/zh-tw/office/%E9%9A%B1%E5%90%AB%E4%BA%A4%E9%9B%86%E9%81%8B%E7%AE%97%E5%AD%90-ce3be07b-0101-4450-a24e-c1c999be2b34" xr:uid="{3C02B12D-BF10-47D7-87B2-351637FD3A83}"/>
  </hyperlinks>
  <pageMargins left="0.7" right="0.7" top="0.75" bottom="0.75" header="0.3" footer="0.3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9BC-402C-4F89-AAE1-616F06EBFCE5}">
  <dimension ref="A1:F30"/>
  <sheetViews>
    <sheetView workbookViewId="0">
      <selection activeCell="A14" sqref="A14"/>
    </sheetView>
  </sheetViews>
  <sheetFormatPr defaultRowHeight="16.75" x14ac:dyDescent="0.45"/>
  <cols>
    <col min="1" max="1" width="12.83203125" style="262" customWidth="1"/>
    <col min="2" max="2" width="30.83203125" style="262" customWidth="1"/>
    <col min="3" max="3" width="8.6640625" style="262"/>
    <col min="4" max="4" width="22.33203125" style="262" bestFit="1" customWidth="1"/>
    <col min="5" max="5" width="8.6640625" style="262"/>
    <col min="6" max="6" width="18" style="262" customWidth="1"/>
    <col min="7" max="16384" width="8.6640625" style="262"/>
  </cols>
  <sheetData>
    <row r="1" spans="1:6" x14ac:dyDescent="0.45">
      <c r="A1" s="261" t="s">
        <v>814</v>
      </c>
      <c r="B1" s="261" t="s">
        <v>817</v>
      </c>
      <c r="D1" s="263" t="s">
        <v>857</v>
      </c>
      <c r="E1" s="261" t="s">
        <v>814</v>
      </c>
      <c r="F1" s="264"/>
    </row>
    <row r="2" spans="1:6" ht="17.149999999999999" thickBot="1" x14ac:dyDescent="0.5">
      <c r="A2" s="265" t="s">
        <v>858</v>
      </c>
      <c r="B2" s="265" t="s">
        <v>858</v>
      </c>
      <c r="E2" s="266" t="s">
        <v>858</v>
      </c>
      <c r="F2" s="264"/>
    </row>
    <row r="3" spans="1:6" x14ac:dyDescent="0.45">
      <c r="A3" s="267" t="s">
        <v>859</v>
      </c>
      <c r="B3" s="267" t="s">
        <v>860</v>
      </c>
      <c r="E3" s="268">
        <v>23</v>
      </c>
    </row>
    <row r="4" spans="1:6" x14ac:dyDescent="0.45">
      <c r="A4" s="267" t="s">
        <v>861</v>
      </c>
      <c r="B4" s="267" t="s">
        <v>862</v>
      </c>
      <c r="E4" s="269">
        <v>45</v>
      </c>
    </row>
    <row r="5" spans="1:6" ht="17.149999999999999" thickBot="1" x14ac:dyDescent="0.5">
      <c r="A5" s="267" t="s">
        <v>863</v>
      </c>
      <c r="B5" s="267" t="s">
        <v>864</v>
      </c>
      <c r="E5" s="270">
        <v>12</v>
      </c>
    </row>
    <row r="6" spans="1:6" x14ac:dyDescent="0.45">
      <c r="A6" s="267" t="s">
        <v>865</v>
      </c>
      <c r="B6" s="267" t="s">
        <v>866</v>
      </c>
      <c r="E6" s="271">
        <v>10</v>
      </c>
    </row>
    <row r="7" spans="1:6" x14ac:dyDescent="0.45">
      <c r="A7" s="265" t="s">
        <v>867</v>
      </c>
      <c r="B7" s="265" t="s">
        <v>868</v>
      </c>
      <c r="E7" s="266" t="s">
        <v>867</v>
      </c>
      <c r="F7" s="266" t="s">
        <v>868</v>
      </c>
    </row>
    <row r="8" spans="1:6" x14ac:dyDescent="0.45">
      <c r="A8" s="267" t="str">
        <f>CHOOSE(2,A3,A4,A5,A6)</f>
        <v>2nd</v>
      </c>
      <c r="B8" s="262" t="s">
        <v>869</v>
      </c>
      <c r="E8" s="271">
        <f>SUM(E3:CHOOSE(2,E3,E4,E5))</f>
        <v>68</v>
      </c>
      <c r="F8" s="272" t="s">
        <v>870</v>
      </c>
    </row>
    <row r="9" spans="1:6" x14ac:dyDescent="0.45">
      <c r="A9" s="267" t="str">
        <f>CHOOSE(4,B3,B4,B5,B6)</f>
        <v>Bolts</v>
      </c>
      <c r="B9" s="262" t="s">
        <v>871</v>
      </c>
    </row>
    <row r="10" spans="1:6" x14ac:dyDescent="0.45">
      <c r="A10" s="267"/>
    </row>
    <row r="11" spans="1:6" s="274" customFormat="1" x14ac:dyDescent="0.45">
      <c r="A11" s="273" t="s">
        <v>872</v>
      </c>
      <c r="E11" s="262"/>
    </row>
    <row r="12" spans="1:6" x14ac:dyDescent="0.45">
      <c r="A12" s="275" t="s">
        <v>873</v>
      </c>
      <c r="E12" s="274"/>
    </row>
    <row r="13" spans="1:6" x14ac:dyDescent="0.45">
      <c r="A13" s="276" t="s">
        <v>3</v>
      </c>
    </row>
    <row r="14" spans="1:6" x14ac:dyDescent="0.45">
      <c r="A14" s="277" t="s">
        <v>895</v>
      </c>
    </row>
    <row r="15" spans="1:6" x14ac:dyDescent="0.45">
      <c r="A15" s="267" t="s">
        <v>874</v>
      </c>
    </row>
    <row r="16" spans="1:6" x14ac:dyDescent="0.45">
      <c r="A16" s="275" t="s">
        <v>875</v>
      </c>
    </row>
    <row r="17" spans="1:2" x14ac:dyDescent="0.45">
      <c r="A17" s="278" t="s">
        <v>876</v>
      </c>
    </row>
    <row r="18" spans="1:2" x14ac:dyDescent="0.45">
      <c r="A18" s="278" t="s">
        <v>877</v>
      </c>
    </row>
    <row r="19" spans="1:2" x14ac:dyDescent="0.45">
      <c r="A19" s="278" t="s">
        <v>878</v>
      </c>
    </row>
    <row r="20" spans="1:2" x14ac:dyDescent="0.45">
      <c r="A20" s="279" t="s">
        <v>879</v>
      </c>
    </row>
    <row r="21" spans="1:2" x14ac:dyDescent="0.45">
      <c r="A21" s="275" t="s">
        <v>880</v>
      </c>
    </row>
    <row r="23" spans="1:2" x14ac:dyDescent="0.45">
      <c r="A23" s="262" t="s">
        <v>881</v>
      </c>
    </row>
    <row r="24" spans="1:2" x14ac:dyDescent="0.45">
      <c r="A24" s="262" t="s">
        <v>882</v>
      </c>
    </row>
    <row r="25" spans="1:2" x14ac:dyDescent="0.45">
      <c r="A25" s="262" t="s">
        <v>883</v>
      </c>
    </row>
    <row r="26" spans="1:2" x14ac:dyDescent="0.45">
      <c r="A26" s="262">
        <f>SUM(CHOOSE(2,A11:A20,B11:B20,C11:C20))</f>
        <v>0</v>
      </c>
      <c r="B26" s="280" t="s">
        <v>884</v>
      </c>
    </row>
    <row r="27" spans="1:2" x14ac:dyDescent="0.45">
      <c r="A27" s="262" t="s">
        <v>885</v>
      </c>
    </row>
    <row r="28" spans="1:2" x14ac:dyDescent="0.45">
      <c r="A28" s="262">
        <f>SUM(B11:B20)</f>
        <v>0</v>
      </c>
      <c r="B28" s="280" t="s">
        <v>886</v>
      </c>
    </row>
    <row r="29" spans="1:2" x14ac:dyDescent="0.45">
      <c r="A29" s="262" t="s">
        <v>887</v>
      </c>
    </row>
    <row r="30" spans="1:2" x14ac:dyDescent="0.45">
      <c r="A30" s="262" t="s">
        <v>888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8</vt:i4>
      </vt:variant>
    </vt:vector>
  </HeadingPairs>
  <TitlesOfParts>
    <vt:vector size="23" baseType="lpstr">
      <vt:lpstr>Filter1</vt:lpstr>
      <vt:lpstr>Filter2-查詢1</vt:lpstr>
      <vt:lpstr>Filter2-查詢2</vt:lpstr>
      <vt:lpstr>Filter3-多條件</vt:lpstr>
      <vt:lpstr>Filter4-sort</vt:lpstr>
      <vt:lpstr>Filter5-陣列-choose</vt:lpstr>
      <vt:lpstr>Filter6-date</vt:lpstr>
      <vt:lpstr>Filter函數</vt:lpstr>
      <vt:lpstr>國家代码</vt:lpstr>
      <vt:lpstr>staff1</vt:lpstr>
      <vt:lpstr>staff1 (2)</vt:lpstr>
      <vt:lpstr>staff2</vt:lpstr>
      <vt:lpstr>item</vt:lpstr>
      <vt:lpstr>Filter函數w</vt:lpstr>
      <vt:lpstr>choose</vt:lpstr>
      <vt:lpstr>staff</vt:lpstr>
      <vt:lpstr>月份</vt:lpstr>
      <vt:lpstr>'Filter4-sort'!到職日期</vt:lpstr>
      <vt:lpstr>到職日期</vt:lpstr>
      <vt:lpstr>組別</vt:lpstr>
      <vt:lpstr>'Filter5-陣列-choose'!組別清單</vt:lpstr>
      <vt:lpstr>組別清單</vt:lpstr>
      <vt:lpstr>職稱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2025-04-10T03:32:16Z</dcterms:modified>
</cp:coreProperties>
</file>