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95" windowHeight="5220" tabRatio="831" activeTab="12"/>
  </bookViews>
  <sheets>
    <sheet name="財務函數" sheetId="1" r:id="rId1"/>
    <sheet name="pv" sheetId="2" r:id="rId2"/>
    <sheet name="fv" sheetId="3" r:id="rId3"/>
    <sheet name="pmt" sheetId="4" r:id="rId4"/>
    <sheet name="abs" sheetId="5" r:id="rId5"/>
    <sheet name="rate" sheetId="6" r:id="rId6"/>
    <sheet name="nper" sheetId="7" r:id="rId7"/>
    <sheet name="IRR" sheetId="8" r:id="rId8"/>
    <sheet name="IRR (2)" sheetId="9" r:id="rId9"/>
    <sheet name="折舊" sheetId="10" r:id="rId10"/>
    <sheet name="折舊-OK" sheetId="11" r:id="rId11"/>
    <sheet name="固定資產記錄" sheetId="12" r:id="rId12"/>
    <sheet name="today" sheetId="13" r:id="rId13"/>
    <sheet name="date" sheetId="14" r:id="rId14"/>
    <sheet name="datedif1" sheetId="15" r:id="rId15"/>
    <sheet name="年資" sheetId="16" r:id="rId16"/>
    <sheet name="datedif 2" sheetId="17" r:id="rId17"/>
  </sheets>
  <externalReferences>
    <externalReference r:id="rId20"/>
    <externalReference r:id="rId21"/>
    <externalReference r:id="rId22"/>
  </externalReferences>
  <definedNames>
    <definedName name="AMOUNT" localSheetId="15">#REF!</definedName>
    <definedName name="AMOUNT">#REF!</definedName>
    <definedName name="amount1">#REF!</definedName>
    <definedName name="CRITERIA" localSheetId="13">'date'!$A$43:$A$44</definedName>
    <definedName name="new">#REF!</definedName>
    <definedName name="業績">#REF!</definedName>
    <definedName name="業績2">#REF!</definedName>
  </definedNames>
  <calcPr fullCalcOnLoad="1"/>
</workbook>
</file>

<file path=xl/comments17.xml><?xml version="1.0" encoding="utf-8"?>
<comments xmlns="http://schemas.openxmlformats.org/spreadsheetml/2006/main">
  <authors>
    <author>NTU</author>
  </authors>
  <commentList>
    <comment ref="J2" authorId="0">
      <text>
        <r>
          <rPr>
            <b/>
            <sz val="9"/>
            <rFont val="新細明體"/>
            <family val="1"/>
          </rPr>
          <t>NTU:</t>
        </r>
        <r>
          <rPr>
            <sz val="9"/>
            <rFont val="新細明體"/>
            <family val="1"/>
          </rPr>
          <t xml:space="preserve">
ignore year</t>
        </r>
      </text>
    </comment>
    <comment ref="K2" authorId="0">
      <text>
        <r>
          <rPr>
            <b/>
            <sz val="9"/>
            <rFont val="新細明體"/>
            <family val="1"/>
          </rPr>
          <t>NTU:</t>
        </r>
        <r>
          <rPr>
            <sz val="9"/>
            <rFont val="新細明體"/>
            <family val="1"/>
          </rPr>
          <t xml:space="preserve">
ignore y+M</t>
        </r>
      </text>
    </comment>
  </commentList>
</comments>
</file>

<file path=xl/sharedStrings.xml><?xml version="1.0" encoding="utf-8"?>
<sst xmlns="http://schemas.openxmlformats.org/spreadsheetml/2006/main" count="513" uniqueCount="249">
  <si>
    <t>定率遞減法</t>
  </si>
  <si>
    <t>年數合計法</t>
  </si>
  <si>
    <t>投資成本</t>
  </si>
  <si>
    <t>剩餘殘值</t>
  </si>
  <si>
    <t>使用年限</t>
  </si>
  <si>
    <t>第幾年</t>
  </si>
  <si>
    <t>直線法</t>
  </si>
  <si>
    <t>倍率遞減法</t>
  </si>
  <si>
    <t>編號</t>
  </si>
  <si>
    <t>姓名</t>
  </si>
  <si>
    <t>性別</t>
  </si>
  <si>
    <t>到職日</t>
  </si>
  <si>
    <t>年資</t>
  </si>
  <si>
    <t>男</t>
  </si>
  <si>
    <t>S002</t>
  </si>
  <si>
    <t>女</t>
  </si>
  <si>
    <t>S003</t>
  </si>
  <si>
    <t>吳小小</t>
  </si>
  <si>
    <t>S004</t>
  </si>
  <si>
    <t>鄭文文</t>
  </si>
  <si>
    <t>S005</t>
  </si>
  <si>
    <t>孔娟娟</t>
  </si>
  <si>
    <t>S006</t>
  </si>
  <si>
    <t>洪慧慧</t>
  </si>
  <si>
    <t>S007</t>
  </si>
  <si>
    <t>范曄曄</t>
  </si>
  <si>
    <t>S008</t>
  </si>
  <si>
    <t>陳偉偉</t>
  </si>
  <si>
    <t>S009</t>
  </si>
  <si>
    <t>賴君君</t>
  </si>
  <si>
    <t>S010</t>
  </si>
  <si>
    <t>董昇昇</t>
  </si>
  <si>
    <r>
      <t>TODAY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函數會傳回現在系統的日期，可應用於輸入報告完成時間或是用來計算年資、年齡。</t>
    </r>
  </si>
  <si>
    <r>
      <t>n</t>
    </r>
    <r>
      <rPr>
        <sz val="12"/>
        <color indexed="8"/>
        <rFont val="新細明體"/>
        <family val="1"/>
      </rPr>
      <t>請開啟範例檔案</t>
    </r>
    <r>
      <rPr>
        <sz val="12"/>
        <color indexed="8"/>
        <rFont val="Times New Roman"/>
        <family val="1"/>
      </rPr>
      <t xml:space="preserve"> Ch09-06</t>
    </r>
    <r>
      <rPr>
        <sz val="12"/>
        <color indexed="8"/>
        <rFont val="新細明體"/>
        <family val="1"/>
      </rPr>
      <t>，並切換至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TODAY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工作表。 </t>
    </r>
  </si>
  <si>
    <r>
      <t>n</t>
    </r>
    <r>
      <rPr>
        <sz val="12"/>
        <color indexed="8"/>
        <rFont val="新細明體"/>
        <family val="1"/>
      </rPr>
      <t>美美公司想要在年終獎金的部份，針對在公司服務滿</t>
    </r>
    <r>
      <rPr>
        <sz val="12"/>
        <color indexed="8"/>
        <rFont val="Times New Roman"/>
        <family val="1"/>
      </rPr>
      <t xml:space="preserve"> 10 </t>
    </r>
    <r>
      <rPr>
        <sz val="12"/>
        <color indexed="8"/>
        <rFont val="新細明體"/>
        <family val="1"/>
      </rPr>
      <t xml:space="preserve">年的同仁發放年資獎金。 </t>
    </r>
  </si>
  <si>
    <r>
      <t>n</t>
    </r>
    <r>
      <rPr>
        <sz val="12"/>
        <color indexed="8"/>
        <rFont val="新細明體"/>
        <family val="1"/>
      </rPr>
      <t>我們用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TODAY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這個函數和到職日相減，所減出來的數字表示天數，再除上</t>
    </r>
    <r>
      <rPr>
        <sz val="12"/>
        <color indexed="8"/>
        <rFont val="Times New Roman"/>
        <family val="1"/>
      </rPr>
      <t xml:space="preserve"> 365.25 (</t>
    </r>
    <r>
      <rPr>
        <sz val="12"/>
        <color indexed="8"/>
        <rFont val="新細明體"/>
        <family val="1"/>
      </rPr>
      <t>每</t>
    </r>
    <r>
      <rPr>
        <sz val="12"/>
        <color indexed="8"/>
        <rFont val="Times New Roman"/>
        <family val="1"/>
      </rPr>
      <t xml:space="preserve"> 4 </t>
    </r>
    <r>
      <rPr>
        <sz val="12"/>
        <color indexed="8"/>
        <rFont val="新細明體"/>
        <family val="1"/>
      </rPr>
      <t>年閏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新細明體"/>
        <family val="1"/>
      </rPr>
      <t>天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新細明體"/>
        <family val="1"/>
      </rPr>
      <t>即可算出年資：</t>
    </r>
  </si>
  <si>
    <r>
      <t>n</t>
    </r>
    <r>
      <rPr>
        <sz val="12"/>
        <color indexed="12"/>
        <rFont val="Times New Roman"/>
        <family val="1"/>
      </rPr>
      <t>DATEDIF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函數可以幫我們計算兩個日期之間的年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數、月數或天數。其格式如下： </t>
    </r>
  </si>
  <si>
    <r>
      <t>n</t>
    </r>
    <r>
      <rPr>
        <sz val="12"/>
        <color indexed="8"/>
        <rFont val="新細明體"/>
        <family val="1"/>
      </rPr>
      <t>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TODAY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這個函數和到職日相減，所減出來的數字表示天數，再除上</t>
    </r>
    <r>
      <rPr>
        <sz val="12"/>
        <color indexed="8"/>
        <rFont val="Times New Roman"/>
        <family val="1"/>
      </rPr>
      <t xml:space="preserve"> 365.25 (</t>
    </r>
    <r>
      <rPr>
        <sz val="12"/>
        <color indexed="8"/>
        <rFont val="新細明體"/>
        <family val="1"/>
      </rPr>
      <t>每</t>
    </r>
    <r>
      <rPr>
        <sz val="12"/>
        <color indexed="8"/>
        <rFont val="Times New Roman"/>
        <family val="1"/>
      </rPr>
      <t xml:space="preserve"> 4 </t>
    </r>
    <r>
      <rPr>
        <sz val="12"/>
        <color indexed="8"/>
        <rFont val="新細明體"/>
        <family val="1"/>
      </rPr>
      <t>年閏</t>
    </r>
    <r>
      <rPr>
        <sz val="12"/>
        <color indexed="8"/>
        <rFont val="Times New Roman"/>
        <family val="1"/>
      </rPr>
      <t xml:space="preserve"> 1 </t>
    </r>
    <r>
      <rPr>
        <sz val="12"/>
        <color indexed="8"/>
        <rFont val="新細明體"/>
        <family val="1"/>
      </rPr>
      <t>天</t>
    </r>
    <r>
      <rPr>
        <sz val="12"/>
        <color indexed="8"/>
        <rFont val="Times New Roman"/>
        <family val="1"/>
      </rPr>
      <t xml:space="preserve">) </t>
    </r>
    <r>
      <rPr>
        <sz val="12"/>
        <color indexed="8"/>
        <rFont val="新細明體"/>
        <family val="1"/>
      </rPr>
      <t xml:space="preserve">即可算出年資： </t>
    </r>
  </si>
  <si>
    <t>練習：</t>
  </si>
  <si>
    <t>生日</t>
  </si>
  <si>
    <t>張惠真</t>
  </si>
  <si>
    <t>呂姿瑩</t>
  </si>
  <si>
    <t>吳志明</t>
  </si>
  <si>
    <t>黃啟川</t>
  </si>
  <si>
    <t>謝龍盛</t>
  </si>
  <si>
    <t>孫國寧</t>
  </si>
  <si>
    <t>楊桂芬</t>
  </si>
  <si>
    <t>梁國棟</t>
  </si>
  <si>
    <t>林美惠</t>
  </si>
  <si>
    <t>李碧莊</t>
  </si>
  <si>
    <t>林淑芬</t>
  </si>
  <si>
    <t>王嘉育</t>
  </si>
  <si>
    <t>吳育仁</t>
  </si>
  <si>
    <t>呂姿瀅</t>
  </si>
  <si>
    <t>孫國華</t>
  </si>
  <si>
    <t>年</t>
  </si>
  <si>
    <t>月</t>
  </si>
  <si>
    <t>日</t>
  </si>
  <si>
    <t>日期</t>
  </si>
  <si>
    <t>今天日期</t>
  </si>
  <si>
    <t>年齡</t>
  </si>
  <si>
    <t>是否已滿</t>
  </si>
  <si>
    <t>已滿年齡</t>
  </si>
  <si>
    <t>員工姓名</t>
  </si>
  <si>
    <t>到職日期</t>
  </si>
  <si>
    <t>條件式</t>
  </si>
  <si>
    <t>開始日期</t>
  </si>
  <si>
    <t>結束日期</t>
  </si>
  <si>
    <t>單位</t>
  </si>
  <si>
    <t>差距</t>
  </si>
  <si>
    <t>Y</t>
  </si>
  <si>
    <r>
      <t xml:space="preserve">  </t>
    </r>
    <r>
      <rPr>
        <sz val="12"/>
        <rFont val="細明體"/>
        <family val="3"/>
      </rPr>
      <t>整年，即已滿幾年</t>
    </r>
  </si>
  <si>
    <t>M</t>
  </si>
  <si>
    <r>
      <t xml:space="preserve">  </t>
    </r>
    <r>
      <rPr>
        <sz val="12"/>
        <rFont val="細明體"/>
        <family val="3"/>
      </rPr>
      <t>整月，即已滿幾月</t>
    </r>
  </si>
  <si>
    <t>D</t>
  </si>
  <si>
    <r>
      <t xml:space="preserve">  </t>
    </r>
    <r>
      <rPr>
        <sz val="12"/>
        <rFont val="細明體"/>
        <family val="3"/>
      </rPr>
      <t>天數</t>
    </r>
  </si>
  <si>
    <t>MD</t>
  </si>
  <si>
    <r>
      <t xml:space="preserve">  </t>
    </r>
    <r>
      <rPr>
        <sz val="12"/>
        <rFont val="新細明體"/>
        <family val="1"/>
      </rPr>
      <t>天數的差</t>
    </r>
    <r>
      <rPr>
        <sz val="12"/>
        <rFont val="Times New Roman"/>
        <family val="1"/>
      </rPr>
      <t>(2+30-5)</t>
    </r>
    <r>
      <rPr>
        <sz val="12"/>
        <rFont val="新細明體"/>
        <family val="1"/>
      </rPr>
      <t>，忽略日期中的月和年</t>
    </r>
  </si>
  <si>
    <t>YM</t>
  </si>
  <si>
    <r>
      <t xml:space="preserve">  </t>
    </r>
    <r>
      <rPr>
        <sz val="12"/>
        <rFont val="新細明體"/>
        <family val="1"/>
      </rPr>
      <t>月數的差</t>
    </r>
    <r>
      <rPr>
        <sz val="12"/>
        <rFont val="Times New Roman"/>
        <family val="1"/>
      </rPr>
      <t>(5/5</t>
    </r>
    <r>
      <rPr>
        <sz val="12"/>
        <rFont val="新細明體"/>
        <family val="1"/>
      </rPr>
      <t>到</t>
    </r>
    <r>
      <rPr>
        <sz val="12"/>
        <rFont val="Times New Roman"/>
        <family val="1"/>
      </rPr>
      <t>7/2</t>
    </r>
    <r>
      <rPr>
        <sz val="12"/>
        <rFont val="新細明體"/>
        <family val="1"/>
      </rPr>
      <t>已滿幾個月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，忽略日期中的日和年</t>
    </r>
  </si>
  <si>
    <t>YD</t>
  </si>
  <si>
    <r>
      <t xml:space="preserve">  </t>
    </r>
    <r>
      <rPr>
        <sz val="12"/>
        <rFont val="新細明體"/>
        <family val="1"/>
      </rPr>
      <t>天數的差</t>
    </r>
    <r>
      <rPr>
        <sz val="12"/>
        <rFont val="Times New Roman"/>
        <family val="1"/>
      </rPr>
      <t>(5/5</t>
    </r>
    <r>
      <rPr>
        <sz val="12"/>
        <rFont val="新細明體"/>
        <family val="1"/>
      </rPr>
      <t>到</t>
    </r>
    <r>
      <rPr>
        <sz val="12"/>
        <rFont val="Times New Roman"/>
        <family val="1"/>
      </rPr>
      <t>7/2</t>
    </r>
    <r>
      <rPr>
        <sz val="12"/>
        <rFont val="新細明體"/>
        <family val="1"/>
      </rPr>
      <t>已滿幾天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，忽略日期中的年</t>
    </r>
  </si>
  <si>
    <t>目前日期</t>
  </si>
  <si>
    <t>年資</t>
  </si>
  <si>
    <t>呂姿瑩</t>
  </si>
  <si>
    <t>美美公司員工年資一覽表</t>
  </si>
  <si>
    <r>
      <t>y</t>
    </r>
    <r>
      <rPr>
        <sz val="12"/>
        <rFont val="新細明體"/>
        <family val="1"/>
      </rPr>
      <t>ear</t>
    </r>
  </si>
  <si>
    <t>month</t>
  </si>
  <si>
    <r>
      <t>d</t>
    </r>
    <r>
      <rPr>
        <sz val="12"/>
        <rFont val="新細明體"/>
        <family val="1"/>
      </rPr>
      <t>ay</t>
    </r>
  </si>
  <si>
    <t>S001</t>
  </si>
  <si>
    <t>潘亮亮</t>
  </si>
  <si>
    <t>=YEAR(F1)-YEAR(D3)</t>
  </si>
  <si>
    <t>日期時間計算要將格式改成通用格式</t>
  </si>
  <si>
    <t>秦洛洛</t>
  </si>
  <si>
    <t>天數計算</t>
  </si>
  <si>
    <t>天數</t>
  </si>
  <si>
    <t>月數</t>
  </si>
  <si>
    <r>
      <t>1</t>
    </r>
    <r>
      <rPr>
        <sz val="12"/>
        <rFont val="新細明體"/>
        <family val="1"/>
      </rPr>
      <t>990=1</t>
    </r>
  </si>
  <si>
    <t>可用日期直接相減，但格式要改成通用格式</t>
  </si>
  <si>
    <t>"y"</t>
  </si>
  <si>
    <t>"m"</t>
  </si>
  <si>
    <t>"d"</t>
  </si>
  <si>
    <t>"ym"</t>
  </si>
  <si>
    <t>"yd"</t>
  </si>
  <si>
    <t>"md"</t>
  </si>
  <si>
    <t>滿幾年</t>
  </si>
  <si>
    <t>滿幾個月</t>
  </si>
  <si>
    <t>滿幾天</t>
  </si>
  <si>
    <t>月數差</t>
  </si>
  <si>
    <t>天數差</t>
  </si>
  <si>
    <t>長期儲蓄存款分析表</t>
  </si>
  <si>
    <t>年息</t>
  </si>
  <si>
    <t>期數：</t>
  </si>
  <si>
    <t>貨款金額：</t>
  </si>
  <si>
    <t>貨款期限(年)：</t>
  </si>
  <si>
    <t>每月攤提</t>
  </si>
  <si>
    <t>每月存款金額：</t>
  </si>
  <si>
    <t>FV函數</t>
  </si>
  <si>
    <t>IRR函數</t>
  </si>
  <si>
    <t>PMT函數</t>
  </si>
  <si>
    <t>PV函數</t>
  </si>
  <si>
    <t>RATE函數</t>
  </si>
  <si>
    <t>折舊函數</t>
  </si>
  <si>
    <r>
      <t>n</t>
    </r>
    <r>
      <rPr>
        <sz val="12"/>
        <color indexed="12"/>
        <rFont val="Times New Roman"/>
        <family val="1"/>
      </rPr>
      <t xml:space="preserve">Rate </t>
    </r>
    <r>
      <rPr>
        <sz val="12"/>
        <color indexed="12"/>
        <rFont val="新細明體"/>
        <family val="1"/>
      </rPr>
      <t xml:space="preserve">為各期的利率。 </t>
    </r>
  </si>
  <si>
    <r>
      <t>n</t>
    </r>
    <r>
      <rPr>
        <sz val="12"/>
        <color indexed="12"/>
        <rFont val="Times New Roman"/>
        <family val="1"/>
      </rPr>
      <t xml:space="preserve">Nper </t>
    </r>
    <r>
      <rPr>
        <sz val="12"/>
        <color indexed="12"/>
        <rFont val="新細明體"/>
        <family val="1"/>
      </rPr>
      <t xml:space="preserve">為付款的總期數。 </t>
    </r>
  </si>
  <si>
    <r>
      <t>n</t>
    </r>
    <r>
      <rPr>
        <sz val="12"/>
        <color indexed="12"/>
        <rFont val="Times New Roman"/>
        <family val="1"/>
      </rPr>
      <t xml:space="preserve">Pmt </t>
    </r>
    <r>
      <rPr>
        <sz val="12"/>
        <color indexed="12"/>
        <rFont val="新細明體"/>
        <family val="1"/>
      </rPr>
      <t xml:space="preserve">為各期所應給付的固定金額。 </t>
    </r>
  </si>
  <si>
    <r>
      <t>n</t>
    </r>
    <r>
      <rPr>
        <sz val="12"/>
        <color indexed="12"/>
        <rFont val="Times New Roman"/>
        <family val="1"/>
      </rPr>
      <t xml:space="preserve">Fv </t>
    </r>
    <r>
      <rPr>
        <sz val="12"/>
        <color indexed="12"/>
        <rFont val="新細明體"/>
        <family val="1"/>
      </rPr>
      <t xml:space="preserve">為最後一次付款以後，所能獲得的現金餘額。 </t>
    </r>
  </si>
  <si>
    <r>
      <t>n</t>
    </r>
    <r>
      <rPr>
        <sz val="12"/>
        <color indexed="12"/>
        <rFont val="Times New Roman"/>
        <family val="1"/>
      </rPr>
      <t xml:space="preserve">Type </t>
    </r>
    <r>
      <rPr>
        <sz val="12"/>
        <color indexed="12"/>
        <rFont val="新細明體"/>
        <family val="1"/>
      </rPr>
      <t>為一邏輯值，當為</t>
    </r>
    <r>
      <rPr>
        <sz val="12"/>
        <color indexed="12"/>
        <rFont val="Times New Roman"/>
        <family val="1"/>
      </rPr>
      <t xml:space="preserve"> 1 </t>
    </r>
    <r>
      <rPr>
        <sz val="12"/>
        <color indexed="12"/>
        <rFont val="新細明體"/>
        <family val="1"/>
      </rPr>
      <t>時，代表每期期初付款；當為</t>
    </r>
    <r>
      <rPr>
        <sz val="12"/>
        <color indexed="12"/>
        <rFont val="Times New Roman"/>
        <family val="1"/>
      </rPr>
      <t xml:space="preserve"> 0 </t>
    </r>
    <r>
      <rPr>
        <sz val="12"/>
        <color indexed="12"/>
        <rFont val="新細明體"/>
        <family val="1"/>
      </rPr>
      <t xml:space="preserve">時，代表每期期末付款。 </t>
    </r>
  </si>
  <si>
    <r>
      <t>n</t>
    </r>
    <r>
      <rPr>
        <sz val="12"/>
        <color indexed="12"/>
        <rFont val="Times New Roman"/>
        <family val="1"/>
      </rPr>
      <t xml:space="preserve">FV </t>
    </r>
    <r>
      <rPr>
        <sz val="12"/>
        <color indexed="8"/>
        <rFont val="新細明體"/>
        <family val="1"/>
      </rPr>
      <t>函數是用來計算未來值的函數。透過它，可評估參與某種投資時最後可獲得的淨值。</t>
    </r>
    <r>
      <rPr>
        <sz val="12"/>
        <color indexed="12"/>
        <rFont val="Times New Roman"/>
        <family val="1"/>
      </rPr>
      <t>FV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函數的格式為： </t>
    </r>
  </si>
  <si>
    <r>
      <t>n</t>
    </r>
    <r>
      <rPr>
        <sz val="12"/>
        <color indexed="12"/>
        <rFont val="Times New Roman"/>
        <family val="1"/>
      </rPr>
      <t xml:space="preserve">Pv </t>
    </r>
    <r>
      <rPr>
        <sz val="12"/>
        <color indexed="12"/>
        <rFont val="新細明體"/>
        <family val="1"/>
      </rPr>
      <t>為年金淨現值。此欄若不填則以</t>
    </r>
    <r>
      <rPr>
        <sz val="12"/>
        <color indexed="12"/>
        <rFont val="Times New Roman"/>
        <family val="1"/>
      </rPr>
      <t xml:space="preserve"> 0 </t>
    </r>
    <r>
      <rPr>
        <sz val="12"/>
        <color indexed="12"/>
        <rFont val="新細明體"/>
        <family val="1"/>
      </rPr>
      <t xml:space="preserve">代替。 </t>
    </r>
  </si>
  <si>
    <r>
      <t>n</t>
    </r>
    <r>
      <rPr>
        <sz val="12"/>
        <color indexed="12"/>
        <rFont val="Times New Roman"/>
        <family val="1"/>
      </rPr>
      <t xml:space="preserve">Type </t>
    </r>
    <r>
      <rPr>
        <sz val="12"/>
        <color indexed="12"/>
        <rFont val="新細明體"/>
        <family val="1"/>
      </rPr>
      <t>為一邏輯值，當為</t>
    </r>
    <r>
      <rPr>
        <sz val="12"/>
        <color indexed="12"/>
        <rFont val="Times New Roman"/>
        <family val="1"/>
      </rPr>
      <t xml:space="preserve"> 1 </t>
    </r>
    <r>
      <rPr>
        <sz val="12"/>
        <color indexed="12"/>
        <rFont val="新細明體"/>
        <family val="1"/>
      </rPr>
      <t>時，代表每期期初付款；當為</t>
    </r>
    <r>
      <rPr>
        <sz val="12"/>
        <color indexed="12"/>
        <rFont val="Times New Roman"/>
        <family val="1"/>
      </rPr>
      <t xml:space="preserve"> 0 </t>
    </r>
    <r>
      <rPr>
        <sz val="12"/>
        <color indexed="12"/>
        <rFont val="新細明體"/>
        <family val="1"/>
      </rPr>
      <t>時，代表每期期末付款。此欄若不填則以</t>
    </r>
    <r>
      <rPr>
        <sz val="12"/>
        <color indexed="12"/>
        <rFont val="Times New Roman"/>
        <family val="1"/>
      </rPr>
      <t xml:space="preserve"> 0 </t>
    </r>
    <r>
      <rPr>
        <sz val="12"/>
        <color indexed="12"/>
        <rFont val="新細明體"/>
        <family val="1"/>
      </rPr>
      <t xml:space="preserve">代替。 </t>
    </r>
  </si>
  <si>
    <r>
      <t>n</t>
    </r>
    <r>
      <rPr>
        <sz val="12"/>
        <color indexed="12"/>
        <rFont val="Times New Roman"/>
        <family val="1"/>
      </rPr>
      <t xml:space="preserve">Pv </t>
    </r>
    <r>
      <rPr>
        <sz val="12"/>
        <color indexed="12"/>
        <rFont val="新細明體"/>
        <family val="1"/>
      </rPr>
      <t xml:space="preserve">為未來各期年金的總淨值，即貸款總金額。 </t>
    </r>
  </si>
  <si>
    <r>
      <t>n</t>
    </r>
    <r>
      <rPr>
        <sz val="12"/>
        <color indexed="12"/>
        <rFont val="Times New Roman"/>
        <family val="1"/>
      </rPr>
      <t xml:space="preserve">Type </t>
    </r>
    <r>
      <rPr>
        <sz val="12"/>
        <color indexed="12"/>
        <rFont val="新細明體"/>
        <family val="1"/>
      </rPr>
      <t>為一邏輯值，當為</t>
    </r>
    <r>
      <rPr>
        <sz val="12"/>
        <color indexed="12"/>
        <rFont val="Times New Roman"/>
        <family val="1"/>
      </rPr>
      <t xml:space="preserve"> 1 </t>
    </r>
    <r>
      <rPr>
        <sz val="12"/>
        <color indexed="12"/>
        <rFont val="新細明體"/>
        <family val="1"/>
      </rPr>
      <t>時，代表每期期初付款；當為</t>
    </r>
    <r>
      <rPr>
        <sz val="12"/>
        <color indexed="12"/>
        <rFont val="Times New Roman"/>
        <family val="1"/>
      </rPr>
      <t xml:space="preserve"> 0 </t>
    </r>
    <r>
      <rPr>
        <sz val="12"/>
        <color indexed="12"/>
        <rFont val="新細明體"/>
        <family val="1"/>
      </rPr>
      <t>時，代表每期期末付款。</t>
    </r>
  </si>
  <si>
    <r>
      <t>n</t>
    </r>
    <r>
      <rPr>
        <sz val="12"/>
        <color indexed="12"/>
        <rFont val="Times New Roman"/>
        <family val="1"/>
      </rPr>
      <t xml:space="preserve">Pv </t>
    </r>
    <r>
      <rPr>
        <sz val="12"/>
        <color indexed="12"/>
        <rFont val="新細明體"/>
        <family val="1"/>
      </rPr>
      <t xml:space="preserve">為未來各期年金現值的總合。 </t>
    </r>
  </si>
  <si>
    <r>
      <t>n</t>
    </r>
    <r>
      <rPr>
        <sz val="12"/>
        <color indexed="12"/>
        <rFont val="Times New Roman"/>
        <family val="1"/>
      </rPr>
      <t xml:space="preserve">Fv </t>
    </r>
    <r>
      <rPr>
        <sz val="12"/>
        <color indexed="12"/>
        <rFont val="新細明體"/>
        <family val="1"/>
      </rPr>
      <t xml:space="preserve">為最後一次付款後，所能獲得的現金餘額。 </t>
    </r>
  </si>
  <si>
    <r>
      <t>n</t>
    </r>
    <r>
      <rPr>
        <sz val="12"/>
        <color indexed="12"/>
        <rFont val="Times New Roman"/>
        <family val="1"/>
      </rPr>
      <t>NPER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函數是指每期投入相同金額，在固定利率的情形下，計算欲達到某一投資金額的期數。</t>
    </r>
    <r>
      <rPr>
        <sz val="12"/>
        <color indexed="12"/>
        <rFont val="Times New Roman"/>
        <family val="1"/>
      </rPr>
      <t xml:space="preserve">NPER </t>
    </r>
    <r>
      <rPr>
        <sz val="12"/>
        <color indexed="8"/>
        <rFont val="新細明體"/>
        <family val="1"/>
      </rPr>
      <t xml:space="preserve">函數的格式為： </t>
    </r>
  </si>
  <si>
    <r>
      <t>n</t>
    </r>
    <r>
      <rPr>
        <sz val="12"/>
        <color indexed="12"/>
        <rFont val="Times New Roman"/>
        <family val="1"/>
      </rPr>
      <t xml:space="preserve">IRR </t>
    </r>
    <r>
      <rPr>
        <sz val="12"/>
        <color indexed="8"/>
        <rFont val="新細明體"/>
        <family val="1"/>
      </rPr>
      <t>函數可以用來計算某一連續期間的內部報酬率。其中要注意的是：投入資金必須以負值表示，</t>
    </r>
    <r>
      <rPr>
        <sz val="12"/>
        <color indexed="8"/>
        <rFont val="Times New Roman"/>
        <family val="1"/>
      </rPr>
      <t xml:space="preserve">IRR </t>
    </r>
    <r>
      <rPr>
        <sz val="12"/>
        <color indexed="8"/>
        <rFont val="新細明體"/>
        <family val="1"/>
      </rPr>
      <t>才可以計算。</t>
    </r>
    <r>
      <rPr>
        <sz val="12"/>
        <color indexed="12"/>
        <rFont val="Times New Roman"/>
        <family val="1"/>
      </rPr>
      <t xml:space="preserve">IRR </t>
    </r>
    <r>
      <rPr>
        <sz val="12"/>
        <color indexed="8"/>
        <rFont val="新細明體"/>
        <family val="1"/>
      </rPr>
      <t xml:space="preserve">函數的格式為： </t>
    </r>
  </si>
  <si>
    <r>
      <t>n</t>
    </r>
    <r>
      <rPr>
        <sz val="12"/>
        <color indexed="12"/>
        <rFont val="Times New Roman"/>
        <family val="1"/>
      </rPr>
      <t xml:space="preserve">Values </t>
    </r>
    <r>
      <rPr>
        <sz val="12"/>
        <color indexed="12"/>
        <rFont val="新細明體"/>
        <family val="1"/>
      </rPr>
      <t xml:space="preserve">要計算報酬率的現金流量數值。 </t>
    </r>
  </si>
  <si>
    <r>
      <t>n</t>
    </r>
    <r>
      <rPr>
        <sz val="12"/>
        <color indexed="12"/>
        <rFont val="Times New Roman"/>
        <family val="1"/>
      </rPr>
      <t xml:space="preserve">Guess </t>
    </r>
    <r>
      <rPr>
        <sz val="12"/>
        <color indexed="12"/>
        <rFont val="新細明體"/>
        <family val="1"/>
      </rPr>
      <t>預測利率，若不填則以</t>
    </r>
    <r>
      <rPr>
        <sz val="12"/>
        <color indexed="12"/>
        <rFont val="Times New Roman"/>
        <family val="1"/>
      </rPr>
      <t xml:space="preserve"> 10% </t>
    </r>
    <r>
      <rPr>
        <sz val="12"/>
        <color indexed="12"/>
        <rFont val="新細明體"/>
        <family val="1"/>
      </rPr>
      <t xml:space="preserve">為預設值來計算。 </t>
    </r>
  </si>
  <si>
    <r>
      <t>n</t>
    </r>
    <r>
      <rPr>
        <sz val="12"/>
        <color indexed="8"/>
        <rFont val="新細明體"/>
        <family val="1"/>
      </rPr>
      <t xml:space="preserve">計算折舊的方法有很多種，通常會依公司習慣的方式來提列。由於使用不同的折舊函數，所需用到的參數亦有些許差異，我們先介紹共通的部份： </t>
    </r>
  </si>
  <si>
    <r>
      <t>n</t>
    </r>
    <r>
      <rPr>
        <sz val="12"/>
        <color indexed="8"/>
        <rFont val="Times New Roman"/>
        <family val="1"/>
      </rPr>
      <t xml:space="preserve">Cost </t>
    </r>
    <r>
      <rPr>
        <sz val="12"/>
        <color indexed="8"/>
        <rFont val="新細明體"/>
        <family val="1"/>
      </rPr>
      <t xml:space="preserve">採購設備或資產所花費的成本。 </t>
    </r>
  </si>
  <si>
    <r>
      <t>n</t>
    </r>
    <r>
      <rPr>
        <sz val="12"/>
        <color indexed="8"/>
        <rFont val="Times New Roman"/>
        <family val="1"/>
      </rPr>
      <t xml:space="preserve">Salvage </t>
    </r>
    <r>
      <rPr>
        <sz val="12"/>
        <color indexed="8"/>
        <rFont val="新細明體"/>
        <family val="1"/>
      </rPr>
      <t xml:space="preserve">殘值，亦即此設備或資產過了耐用年限時可回收的價值。 </t>
    </r>
  </si>
  <si>
    <r>
      <t>n</t>
    </r>
    <r>
      <rPr>
        <sz val="12"/>
        <color indexed="8"/>
        <rFont val="Times New Roman"/>
        <family val="1"/>
      </rPr>
      <t xml:space="preserve">Life </t>
    </r>
    <r>
      <rPr>
        <sz val="12"/>
        <color indexed="8"/>
        <rFont val="新細明體"/>
        <family val="1"/>
      </rPr>
      <t xml:space="preserve">耐用年限，亦即此設備或資產的可用年限或生產數量。 </t>
    </r>
  </si>
  <si>
    <r>
      <t>茹葳公司採購一生財設備花了</t>
    </r>
    <r>
      <rPr>
        <sz val="12"/>
        <color indexed="8"/>
        <rFont val="Times New Roman"/>
        <family val="1"/>
      </rPr>
      <t xml:space="preserve"> 60 </t>
    </r>
    <r>
      <rPr>
        <sz val="12"/>
        <color indexed="8"/>
        <rFont val="新細明體"/>
        <family val="1"/>
      </rPr>
      <t>萬元，預估可以使用</t>
    </r>
    <r>
      <rPr>
        <sz val="12"/>
        <color indexed="8"/>
        <rFont val="Times New Roman"/>
        <family val="1"/>
      </rPr>
      <t xml:space="preserve"> 5 </t>
    </r>
    <r>
      <rPr>
        <sz val="12"/>
        <color indexed="8"/>
        <rFont val="新細明體"/>
        <family val="1"/>
      </rPr>
      <t>年，殘值餘</t>
    </r>
    <r>
      <rPr>
        <sz val="12"/>
        <color indexed="8"/>
        <rFont val="Times New Roman"/>
        <family val="1"/>
      </rPr>
      <t xml:space="preserve"> 4,500 </t>
    </r>
    <r>
      <rPr>
        <sz val="12"/>
        <color indexed="8"/>
        <rFont val="新細明體"/>
        <family val="1"/>
      </rPr>
      <t>元。若以</t>
    </r>
    <r>
      <rPr>
        <sz val="12"/>
        <color indexed="12"/>
        <rFont val="新細明體"/>
        <family val="1"/>
      </rPr>
      <t>直線法</t>
    </r>
    <r>
      <rPr>
        <sz val="12"/>
        <color indexed="8"/>
        <rFont val="新細明體"/>
        <family val="1"/>
      </rPr>
      <t>來攤為費用，則可使用直線法折舊函數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SLN</t>
    </r>
    <r>
      <rPr>
        <sz val="12"/>
        <color indexed="8"/>
        <rFont val="新細明體"/>
        <family val="1"/>
      </rPr>
      <t>，其格式如下：</t>
    </r>
  </si>
  <si>
    <r>
      <t>承上例，若茹葳公司想要以</t>
    </r>
    <r>
      <rPr>
        <sz val="12"/>
        <color indexed="12"/>
        <rFont val="新細明體"/>
        <family val="1"/>
      </rPr>
      <t>定率遞減法</t>
    </r>
    <r>
      <rPr>
        <sz val="12"/>
        <color indexed="12"/>
        <rFont val="Times New Roman"/>
        <family val="1"/>
      </rPr>
      <t xml:space="preserve"> (DB)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來計算每年需攤提的費用，則須採用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DB </t>
    </r>
    <r>
      <rPr>
        <sz val="12"/>
        <color indexed="8"/>
        <rFont val="新細明體"/>
        <family val="1"/>
      </rPr>
      <t>函數，其格式為：</t>
    </r>
  </si>
  <si>
    <r>
      <t>n</t>
    </r>
    <r>
      <rPr>
        <sz val="12"/>
        <color indexed="8"/>
        <rFont val="新細明體"/>
        <family val="1"/>
      </rPr>
      <t>若茹葳公司想要以</t>
    </r>
    <r>
      <rPr>
        <sz val="12"/>
        <color indexed="12"/>
        <rFont val="新細明體"/>
        <family val="1"/>
      </rPr>
      <t>倍率遞減法</t>
    </r>
    <r>
      <rPr>
        <sz val="12"/>
        <color indexed="12"/>
        <rFont val="Times New Roman"/>
        <family val="1"/>
      </rPr>
      <t xml:space="preserve"> (DDB)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來計算每年需攤提的費用，則可使用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DDB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函數，其格式如下： </t>
    </r>
  </si>
  <si>
    <r>
      <t>n</t>
    </r>
    <r>
      <rPr>
        <sz val="12"/>
        <color indexed="8"/>
        <rFont val="新細明體"/>
        <family val="1"/>
      </rPr>
      <t>若茹葳公司想要以</t>
    </r>
    <r>
      <rPr>
        <sz val="12"/>
        <color indexed="12"/>
        <rFont val="新細明體"/>
        <family val="1"/>
      </rPr>
      <t>年數合計法</t>
    </r>
    <r>
      <rPr>
        <sz val="12"/>
        <color indexed="12"/>
        <rFont val="Times New Roman"/>
        <family val="1"/>
      </rPr>
      <t xml:space="preserve"> (SYD)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來計算每年需攤提的費用，則可改用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 xml:space="preserve">SYD </t>
    </r>
    <r>
      <rPr>
        <sz val="12"/>
        <color indexed="8"/>
        <rFont val="新細明體"/>
        <family val="1"/>
      </rPr>
      <t xml:space="preserve">函數來計算。其格式如下： </t>
    </r>
  </si>
  <si>
    <t>=DB($B$1,$D$1,$F$1,F3)</t>
  </si>
  <si>
    <t>=DDB($B$1,$D$1,$F$1,F3,3.15)</t>
  </si>
  <si>
    <t>=SYD($B$1,$D$1,$F$1,F3)</t>
  </si>
  <si>
    <r>
      <t>n</t>
    </r>
    <r>
      <rPr>
        <sz val="12"/>
        <color indexed="12"/>
        <rFont val="Times New Roman"/>
        <family val="1"/>
      </rPr>
      <t xml:space="preserve">ABS </t>
    </r>
    <r>
      <rPr>
        <sz val="12"/>
        <color indexed="8"/>
        <rFont val="新細明體"/>
        <family val="1"/>
      </rPr>
      <t>是用來計算</t>
    </r>
    <r>
      <rPr>
        <sz val="12"/>
        <color indexed="12"/>
        <rFont val="新細明體"/>
        <family val="1"/>
      </rPr>
      <t>絕對值</t>
    </r>
    <r>
      <rPr>
        <sz val="12"/>
        <color indexed="8"/>
        <rFont val="新細明體"/>
        <family val="1"/>
      </rPr>
      <t>的函數，此函數只能有一個引數，且引數必須是數值、或是一個含有數值的儲存格、或是一個可傳回一個數值的函數，例如：</t>
    </r>
    <r>
      <rPr>
        <sz val="12"/>
        <color indexed="8"/>
        <rFont val="Times New Roman"/>
        <family val="1"/>
      </rPr>
      <t>ABS (SUM (1,2,3))</t>
    </r>
    <r>
      <rPr>
        <sz val="12"/>
        <color indexed="8"/>
        <rFont val="新細明體"/>
        <family val="1"/>
      </rPr>
      <t xml:space="preserve">。 </t>
    </r>
  </si>
  <si>
    <r>
      <t>n</t>
    </r>
    <r>
      <rPr>
        <sz val="12"/>
        <color indexed="8"/>
        <rFont val="新細明體"/>
        <family val="1"/>
      </rPr>
      <t>同</t>
    </r>
    <r>
      <rPr>
        <sz val="12"/>
        <color indexed="8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PMT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函數的實例，假設旗旗銀行提供申請購屋貸款的優惠方案，貸款年利率為</t>
    </r>
    <r>
      <rPr>
        <sz val="12"/>
        <color indexed="8"/>
        <rFont val="Times New Roman"/>
        <family val="1"/>
      </rPr>
      <t xml:space="preserve"> 4.5%</t>
    </r>
    <r>
      <rPr>
        <sz val="12"/>
        <color indexed="8"/>
        <rFont val="新細明體"/>
        <family val="1"/>
      </rPr>
      <t>，可借得</t>
    </r>
    <r>
      <rPr>
        <sz val="12"/>
        <color indexed="8"/>
        <rFont val="Times New Roman"/>
        <family val="1"/>
      </rPr>
      <t xml:space="preserve"> 3,000,000 </t>
    </r>
    <r>
      <rPr>
        <sz val="12"/>
        <color indexed="8"/>
        <rFont val="新細明體"/>
        <family val="1"/>
      </rPr>
      <t>元，期限為</t>
    </r>
    <r>
      <rPr>
        <sz val="12"/>
        <color indexed="8"/>
        <rFont val="Times New Roman"/>
        <family val="1"/>
      </rPr>
      <t xml:space="preserve"> 20 </t>
    </r>
    <r>
      <rPr>
        <sz val="12"/>
        <color indexed="8"/>
        <rFont val="新細明體"/>
        <family val="1"/>
      </rPr>
      <t xml:space="preserve">年，請您算算每月必須負擔多少貸款金額？ </t>
    </r>
  </si>
  <si>
    <r>
      <t>n</t>
    </r>
    <r>
      <rPr>
        <sz val="12"/>
        <color indexed="8"/>
        <rFont val="新細明體"/>
        <family val="1"/>
      </rPr>
      <t>假設郵局推出一種儲蓄理財方案：年利率為</t>
    </r>
    <r>
      <rPr>
        <sz val="12"/>
        <color indexed="8"/>
        <rFont val="Times New Roman"/>
        <family val="1"/>
      </rPr>
      <t xml:space="preserve"> 2.5%</t>
    </r>
    <r>
      <rPr>
        <sz val="12"/>
        <color indexed="8"/>
        <rFont val="新細明體"/>
        <family val="1"/>
      </rPr>
      <t>，只要您現在先繳</t>
    </r>
    <r>
      <rPr>
        <sz val="12"/>
        <color indexed="8"/>
        <rFont val="Times New Roman"/>
        <family val="1"/>
      </rPr>
      <t xml:space="preserve"> 120,000 </t>
    </r>
    <r>
      <rPr>
        <sz val="12"/>
        <color indexed="8"/>
        <rFont val="新細明體"/>
        <family val="1"/>
      </rPr>
      <t>元，就可在未來的</t>
    </r>
    <r>
      <rPr>
        <sz val="12"/>
        <color indexed="8"/>
        <rFont val="Times New Roman"/>
        <family val="1"/>
      </rPr>
      <t xml:space="preserve"> 10 </t>
    </r>
    <r>
      <rPr>
        <sz val="12"/>
        <color indexed="8"/>
        <rFont val="新細明體"/>
        <family val="1"/>
      </rPr>
      <t>年內，每年領回</t>
    </r>
    <r>
      <rPr>
        <sz val="12"/>
        <color indexed="8"/>
        <rFont val="Times New Roman"/>
        <family val="1"/>
      </rPr>
      <t xml:space="preserve"> 13,500 </t>
    </r>
    <r>
      <rPr>
        <sz val="12"/>
        <color indexed="8"/>
        <rFont val="新細明體"/>
        <family val="1"/>
      </rPr>
      <t>元，這時候，我們就可以利用</t>
    </r>
    <r>
      <rPr>
        <sz val="12"/>
        <color indexed="8"/>
        <rFont val="Times New Roman"/>
        <family val="1"/>
      </rPr>
      <t xml:space="preserve"> PV </t>
    </r>
    <r>
      <rPr>
        <sz val="12"/>
        <color indexed="8"/>
        <rFont val="新細明體"/>
        <family val="1"/>
      </rPr>
      <t xml:space="preserve">函數來評估此項方案是否值得投資？ </t>
    </r>
  </si>
  <si>
    <r>
      <t>n</t>
    </r>
    <r>
      <rPr>
        <sz val="12"/>
        <color indexed="12"/>
        <rFont val="Times New Roman"/>
        <family val="1"/>
      </rPr>
      <t xml:space="preserve">Pmt </t>
    </r>
    <r>
      <rPr>
        <sz val="12"/>
        <color indexed="12"/>
        <rFont val="新細明體"/>
        <family val="1"/>
      </rPr>
      <t xml:space="preserve">為各期所應給付的固定金額。 </t>
    </r>
  </si>
  <si>
    <t xml:space="preserve">各期應給付的固定金額(每年) </t>
  </si>
  <si>
    <t>現值</t>
  </si>
  <si>
    <t>=PV(B2,B3,B4)</t>
  </si>
  <si>
    <t>年利率</t>
  </si>
  <si>
    <r>
      <t>n</t>
    </r>
    <r>
      <rPr>
        <sz val="12"/>
        <color indexed="12"/>
        <rFont val="Times New Roman"/>
        <family val="1"/>
      </rPr>
      <t xml:space="preserve">PV </t>
    </r>
    <r>
      <rPr>
        <sz val="12"/>
        <color indexed="8"/>
        <rFont val="新細明體"/>
        <family val="1"/>
      </rPr>
      <t>函數是用來求算現值的函數。透過此函數，可以反推在某種獲利條件下，所需要的本金，以便評估某項投資是否值得。</t>
    </r>
  </si>
  <si>
    <t xml:space="preserve">PV函數的格式為： </t>
  </si>
  <si>
    <t>預付款</t>
  </si>
  <si>
    <t>每年領回</t>
  </si>
  <si>
    <r>
      <t>n</t>
    </r>
    <r>
      <rPr>
        <sz val="12"/>
        <color indexed="8"/>
        <rFont val="新細明體"/>
        <family val="1"/>
      </rPr>
      <t>假設銀行年利率為</t>
    </r>
    <r>
      <rPr>
        <sz val="12"/>
        <color indexed="8"/>
        <rFont val="Times New Roman"/>
        <family val="1"/>
      </rPr>
      <t xml:space="preserve"> 2%</t>
    </r>
    <r>
      <rPr>
        <sz val="12"/>
        <color indexed="8"/>
        <rFont val="新細明體"/>
        <family val="1"/>
      </rPr>
      <t>，您從現在起，每月固定存款</t>
    </r>
    <r>
      <rPr>
        <sz val="12"/>
        <color indexed="8"/>
        <rFont val="Times New Roman"/>
        <family val="1"/>
      </rPr>
      <t xml:space="preserve"> 8,000 </t>
    </r>
    <r>
      <rPr>
        <sz val="12"/>
        <color indexed="8"/>
        <rFont val="新細明體"/>
        <family val="1"/>
      </rPr>
      <t>元，那麼在</t>
    </r>
    <r>
      <rPr>
        <sz val="12"/>
        <color indexed="8"/>
        <rFont val="Times New Roman"/>
        <family val="1"/>
      </rPr>
      <t xml:space="preserve"> 5 </t>
    </r>
    <r>
      <rPr>
        <sz val="12"/>
        <color indexed="8"/>
        <rFont val="新細明體"/>
        <family val="1"/>
      </rPr>
      <t xml:space="preserve">年後，您一共存了多少錢呢？ </t>
    </r>
  </si>
  <si>
    <r>
      <t>n</t>
    </r>
    <r>
      <rPr>
        <sz val="12"/>
        <color indexed="8"/>
        <rFont val="新細明體"/>
        <family val="1"/>
      </rPr>
      <t>由上述說明可知</t>
    </r>
    <r>
      <rPr>
        <sz val="12"/>
        <color indexed="8"/>
        <rFont val="Times New Roman"/>
        <family val="1"/>
      </rPr>
      <t xml:space="preserve"> Rate </t>
    </r>
    <r>
      <rPr>
        <sz val="12"/>
        <color indexed="8"/>
        <rFont val="新細明體"/>
        <family val="1"/>
      </rPr>
      <t>為</t>
    </r>
    <r>
      <rPr>
        <sz val="12"/>
        <color indexed="8"/>
        <rFont val="Times New Roman"/>
        <family val="1"/>
      </rPr>
      <t xml:space="preserve"> 2%/12 (2% </t>
    </r>
    <r>
      <rPr>
        <sz val="12"/>
        <color indexed="8"/>
        <rFont val="新細明體"/>
        <family val="1"/>
      </rPr>
      <t>是年利率，每月存款所以要除以</t>
    </r>
    <r>
      <rPr>
        <sz val="12"/>
        <color indexed="8"/>
        <rFont val="Times New Roman"/>
        <family val="1"/>
      </rPr>
      <t xml:space="preserve"> 12)</t>
    </r>
    <r>
      <rPr>
        <sz val="12"/>
        <color indexed="8"/>
        <rFont val="新細明體"/>
        <family val="1"/>
      </rPr>
      <t>，</t>
    </r>
    <r>
      <rPr>
        <sz val="12"/>
        <color indexed="8"/>
        <rFont val="Times New Roman"/>
        <family val="1"/>
      </rPr>
      <t xml:space="preserve">Nper </t>
    </r>
    <r>
      <rPr>
        <sz val="12"/>
        <color indexed="8"/>
        <rFont val="新細明體"/>
        <family val="1"/>
      </rPr>
      <t>為</t>
    </r>
    <r>
      <rPr>
        <sz val="12"/>
        <color indexed="8"/>
        <rFont val="Times New Roman"/>
        <family val="1"/>
      </rPr>
      <t xml:space="preserve"> 5*12 (</t>
    </r>
    <r>
      <rPr>
        <sz val="12"/>
        <color indexed="8"/>
        <rFont val="新細明體"/>
        <family val="1"/>
      </rPr>
      <t>一年</t>
    </r>
    <r>
      <rPr>
        <sz val="12"/>
        <color indexed="8"/>
        <rFont val="Times New Roman"/>
        <family val="1"/>
      </rPr>
      <t xml:space="preserve"> 12 </t>
    </r>
    <r>
      <rPr>
        <sz val="12"/>
        <color indexed="8"/>
        <rFont val="新細明體"/>
        <family val="1"/>
      </rPr>
      <t>期，持續</t>
    </r>
    <r>
      <rPr>
        <sz val="12"/>
        <color indexed="8"/>
        <rFont val="Times New Roman"/>
        <family val="1"/>
      </rPr>
      <t xml:space="preserve"> 5 </t>
    </r>
    <r>
      <rPr>
        <sz val="12"/>
        <color indexed="8"/>
        <rFont val="新細明體"/>
        <family val="1"/>
      </rPr>
      <t>年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，</t>
    </r>
    <r>
      <rPr>
        <sz val="12"/>
        <color indexed="8"/>
        <rFont val="Times New Roman"/>
        <family val="1"/>
      </rPr>
      <t xml:space="preserve">Pmt </t>
    </r>
    <r>
      <rPr>
        <sz val="12"/>
        <color indexed="8"/>
        <rFont val="新細明體"/>
        <family val="1"/>
      </rPr>
      <t>為</t>
    </r>
    <r>
      <rPr>
        <sz val="12"/>
        <color indexed="8"/>
        <rFont val="Times New Roman"/>
        <family val="1"/>
      </rPr>
      <t xml:space="preserve"> -8000 (</t>
    </r>
    <r>
      <rPr>
        <sz val="12"/>
        <color indexed="8"/>
        <rFont val="新細明體"/>
        <family val="1"/>
      </rPr>
      <t>由於是付款，故代入負數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：</t>
    </r>
  </si>
  <si>
    <t>期滿</t>
  </si>
  <si>
    <r>
      <t>n</t>
    </r>
    <r>
      <rPr>
        <sz val="12"/>
        <color indexed="8"/>
        <rFont val="新細明體"/>
        <family val="1"/>
      </rPr>
      <t>假設古堡銀行推出全新的百萬儲蓄計劃，強調每月只要儲蓄</t>
    </r>
    <r>
      <rPr>
        <sz val="12"/>
        <color indexed="8"/>
        <rFont val="Times New Roman"/>
        <family val="1"/>
      </rPr>
      <t xml:space="preserve"> 7,500 </t>
    </r>
    <r>
      <rPr>
        <sz val="12"/>
        <color indexed="8"/>
        <rFont val="新細明體"/>
        <family val="1"/>
      </rPr>
      <t>元，</t>
    </r>
    <r>
      <rPr>
        <sz val="12"/>
        <color indexed="8"/>
        <rFont val="Times New Roman"/>
        <family val="1"/>
      </rPr>
      <t xml:space="preserve">10 </t>
    </r>
    <r>
      <rPr>
        <sz val="12"/>
        <color indexed="8"/>
        <rFont val="新細明體"/>
        <family val="1"/>
      </rPr>
      <t>年後保證領回</t>
    </r>
    <r>
      <rPr>
        <sz val="12"/>
        <color indexed="8"/>
        <rFont val="Times New Roman"/>
        <family val="1"/>
      </rPr>
      <t xml:space="preserve"> 100 </t>
    </r>
    <r>
      <rPr>
        <sz val="12"/>
        <color indexed="8"/>
        <rFont val="新細明體"/>
        <family val="1"/>
      </rPr>
      <t xml:space="preserve">萬元，那到底這個百萬儲蓄計劃的年利率是多少呢？ </t>
    </r>
  </si>
  <si>
    <r>
      <t>n</t>
    </r>
    <r>
      <rPr>
        <sz val="12"/>
        <color indexed="8"/>
        <rFont val="新細明體"/>
        <family val="1"/>
      </rPr>
      <t>帶入函數計算的結果，比目前銀行定存約</t>
    </r>
    <r>
      <rPr>
        <sz val="12"/>
        <color indexed="8"/>
        <rFont val="Times New Roman"/>
        <family val="1"/>
      </rPr>
      <t xml:space="preserve"> 2% </t>
    </r>
    <r>
      <rPr>
        <sz val="12"/>
        <color indexed="8"/>
        <rFont val="新細明體"/>
        <family val="1"/>
      </rPr>
      <t xml:space="preserve">的利率還要高一些。 </t>
    </r>
  </si>
  <si>
    <r>
      <t>n</t>
    </r>
    <r>
      <rPr>
        <sz val="12"/>
        <color indexed="8"/>
        <rFont val="新細明體"/>
        <family val="1"/>
      </rPr>
      <t>假設古堡銀行提出個人小額信用貸款方案，借款</t>
    </r>
    <r>
      <rPr>
        <sz val="12"/>
        <color indexed="8"/>
        <rFont val="Times New Roman"/>
        <family val="1"/>
      </rPr>
      <t xml:space="preserve"> 30 </t>
    </r>
    <r>
      <rPr>
        <sz val="12"/>
        <color indexed="8"/>
        <rFont val="新細明體"/>
        <family val="1"/>
      </rPr>
      <t>萬，每月只要還款</t>
    </r>
    <r>
      <rPr>
        <sz val="12"/>
        <color indexed="8"/>
        <rFont val="Times New Roman"/>
        <family val="1"/>
      </rPr>
      <t xml:space="preserve"> 16000</t>
    </r>
    <r>
      <rPr>
        <sz val="12"/>
        <color indexed="8"/>
        <rFont val="新細明體"/>
        <family val="1"/>
      </rPr>
      <t>，</t>
    </r>
    <r>
      <rPr>
        <sz val="12"/>
        <color indexed="8"/>
        <rFont val="Times New Roman"/>
        <family val="1"/>
      </rPr>
      <t xml:space="preserve">2 </t>
    </r>
    <r>
      <rPr>
        <sz val="12"/>
        <color indexed="8"/>
        <rFont val="新細明體"/>
        <family val="1"/>
      </rPr>
      <t xml:space="preserve">年即可還清。 </t>
    </r>
  </si>
  <si>
    <r>
      <t>n</t>
    </r>
    <r>
      <rPr>
        <sz val="12"/>
        <color indexed="8"/>
        <rFont val="新細明體"/>
        <family val="1"/>
      </rPr>
      <t xml:space="preserve">帶入函數得知，和信用卡循環利息一樣高耶，還是划不來哦。 </t>
    </r>
  </si>
  <si>
    <r>
      <t>n</t>
    </r>
    <r>
      <rPr>
        <sz val="12"/>
        <color indexed="8"/>
        <rFont val="新細明體"/>
        <family val="1"/>
      </rPr>
      <t>小風想買一間需自備款</t>
    </r>
    <r>
      <rPr>
        <sz val="12"/>
        <color indexed="8"/>
        <rFont val="Times New Roman"/>
        <family val="1"/>
      </rPr>
      <t xml:space="preserve"> 60 </t>
    </r>
    <r>
      <rPr>
        <sz val="12"/>
        <color indexed="8"/>
        <rFont val="新細明體"/>
        <family val="1"/>
      </rPr>
      <t>萬元的小套房，目前小風每個月可以存</t>
    </r>
    <r>
      <rPr>
        <sz val="12"/>
        <color indexed="8"/>
        <rFont val="Times New Roman"/>
        <family val="1"/>
      </rPr>
      <t xml:space="preserve"> 17,000 </t>
    </r>
    <r>
      <rPr>
        <sz val="12"/>
        <color indexed="8"/>
        <rFont val="新細明體"/>
        <family val="1"/>
      </rPr>
      <t>元，而定存年利率為</t>
    </r>
    <r>
      <rPr>
        <sz val="12"/>
        <color indexed="8"/>
        <rFont val="Times New Roman"/>
        <family val="1"/>
      </rPr>
      <t xml:space="preserve"> 2.05%</t>
    </r>
    <r>
      <rPr>
        <sz val="12"/>
        <color indexed="8"/>
        <rFont val="新細明體"/>
        <family val="1"/>
      </rPr>
      <t xml:space="preserve">，小風需要存多久才能存夠小套房的頭期款呢？ </t>
    </r>
  </si>
  <si>
    <r>
      <t>n</t>
    </r>
    <r>
      <rPr>
        <sz val="12"/>
        <color indexed="8"/>
        <rFont val="新細明體"/>
        <family val="1"/>
      </rPr>
      <t>帶入函數計算結果，表示小風只要存</t>
    </r>
    <r>
      <rPr>
        <sz val="12"/>
        <color indexed="8"/>
        <rFont val="Times New Roman"/>
        <family val="1"/>
      </rPr>
      <t xml:space="preserve"> 35 </t>
    </r>
    <r>
      <rPr>
        <sz val="12"/>
        <color indexed="8"/>
        <rFont val="新細明體"/>
        <family val="1"/>
      </rPr>
      <t xml:space="preserve">個月就可湊足小套房的頭期款了。 </t>
    </r>
  </si>
  <si>
    <r>
      <t>n</t>
    </r>
    <r>
      <rPr>
        <sz val="12"/>
        <color indexed="8"/>
        <rFont val="新細明體"/>
        <family val="1"/>
      </rPr>
      <t>假設瑪琦朵行動咖啡館提出一投資方案，投資者只要投入資金</t>
    </r>
    <r>
      <rPr>
        <sz val="12"/>
        <color indexed="8"/>
        <rFont val="Times New Roman"/>
        <family val="1"/>
      </rPr>
      <t xml:space="preserve"> 80 </t>
    </r>
    <r>
      <rPr>
        <sz val="12"/>
        <color indexed="8"/>
        <rFont val="新細明體"/>
        <family val="1"/>
      </rPr>
      <t>萬，便可以在</t>
    </r>
    <r>
      <rPr>
        <sz val="12"/>
        <color indexed="8"/>
        <rFont val="Times New Roman"/>
        <family val="1"/>
      </rPr>
      <t xml:space="preserve"> 6 </t>
    </r>
    <r>
      <rPr>
        <sz val="12"/>
        <color indexed="8"/>
        <rFont val="新細明體"/>
        <family val="1"/>
      </rPr>
      <t>年內可分別領回：</t>
    </r>
    <r>
      <rPr>
        <sz val="12"/>
        <color indexed="8"/>
        <rFont val="Times New Roman"/>
        <family val="1"/>
      </rPr>
      <t xml:space="preserve">15 </t>
    </r>
    <r>
      <rPr>
        <sz val="12"/>
        <color indexed="8"/>
        <rFont val="新細明體"/>
        <family val="1"/>
      </rPr>
      <t>萬、</t>
    </r>
    <r>
      <rPr>
        <sz val="12"/>
        <color indexed="8"/>
        <rFont val="Times New Roman"/>
        <family val="1"/>
      </rPr>
      <t xml:space="preserve">17.5 </t>
    </r>
    <r>
      <rPr>
        <sz val="12"/>
        <color indexed="8"/>
        <rFont val="新細明體"/>
        <family val="1"/>
      </rPr>
      <t>萬、</t>
    </r>
    <r>
      <rPr>
        <sz val="12"/>
        <color indexed="8"/>
        <rFont val="Times New Roman"/>
        <family val="1"/>
      </rPr>
      <t xml:space="preserve">20 </t>
    </r>
    <r>
      <rPr>
        <sz val="12"/>
        <color indexed="8"/>
        <rFont val="新細明體"/>
        <family val="1"/>
      </rPr>
      <t>萬、</t>
    </r>
    <r>
      <rPr>
        <sz val="12"/>
        <color indexed="8"/>
        <rFont val="Times New Roman"/>
        <family val="1"/>
      </rPr>
      <t xml:space="preserve">21 </t>
    </r>
    <r>
      <rPr>
        <sz val="12"/>
        <color indexed="8"/>
        <rFont val="新細明體"/>
        <family val="1"/>
      </rPr>
      <t>萬、</t>
    </r>
    <r>
      <rPr>
        <sz val="12"/>
        <color indexed="8"/>
        <rFont val="Times New Roman"/>
        <family val="1"/>
      </rPr>
      <t xml:space="preserve">22 </t>
    </r>
    <r>
      <rPr>
        <sz val="12"/>
        <color indexed="8"/>
        <rFont val="新細明體"/>
        <family val="1"/>
      </rPr>
      <t>萬、及</t>
    </r>
    <r>
      <rPr>
        <sz val="12"/>
        <color indexed="8"/>
        <rFont val="Times New Roman"/>
        <family val="1"/>
      </rPr>
      <t xml:space="preserve"> 23 </t>
    </r>
    <r>
      <rPr>
        <sz val="12"/>
        <color indexed="8"/>
        <rFont val="新細明體"/>
        <family val="1"/>
      </rPr>
      <t xml:space="preserve">萬，求此投資的內部報酬率： </t>
    </r>
  </si>
  <si>
    <t>以直線折舊法計算固定資產記錄</t>
  </si>
  <si>
    <t>資產名稱</t>
  </si>
  <si>
    <t>資產類別</t>
  </si>
  <si>
    <t>描述</t>
  </si>
  <si>
    <t>實體位置</t>
  </si>
  <si>
    <t>資產號碼</t>
  </si>
  <si>
    <t>序號</t>
  </si>
  <si>
    <t>購置日期</t>
  </si>
  <si>
    <t>購置成本</t>
  </si>
  <si>
    <t>估計使用年限 (年)</t>
  </si>
  <si>
    <t>估計殘值</t>
  </si>
  <si>
    <t>估計直線折舊值</t>
  </si>
  <si>
    <t>管理大樓</t>
  </si>
  <si>
    <t>建築物</t>
  </si>
  <si>
    <t>台北管理大樓</t>
  </si>
  <si>
    <t>台北市民權東路六段 123 號</t>
  </si>
  <si>
    <t>N/A</t>
  </si>
  <si>
    <t>管理大樓伺服器</t>
  </si>
  <si>
    <t>機器與設備</t>
  </si>
  <si>
    <t>裝載公司文件的伺服器</t>
  </si>
  <si>
    <t>管理大樓五樓</t>
  </si>
  <si>
    <t>4463-22A</t>
  </si>
  <si>
    <t>投入資金</t>
  </si>
  <si>
    <t>第1年</t>
  </si>
  <si>
    <t>第2年</t>
  </si>
  <si>
    <t>第3年</t>
  </si>
  <si>
    <t>第4年</t>
  </si>
  <si>
    <t>第5年</t>
  </si>
  <si>
    <t>第6年</t>
  </si>
  <si>
    <t>內部報酬率</t>
  </si>
  <si>
    <t>&lt;=一定要用負數表示</t>
  </si>
  <si>
    <t>利率</t>
  </si>
  <si>
    <t>儲蓄(月)</t>
  </si>
  <si>
    <t>小額信貨</t>
  </si>
  <si>
    <t>付款金額(月)</t>
  </si>
  <si>
    <r>
      <t>n</t>
    </r>
    <r>
      <rPr>
        <sz val="12"/>
        <color indexed="12"/>
        <rFont val="Times New Roman"/>
        <family val="1"/>
      </rPr>
      <t>RATE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函數可以幫我們計算借了一筆錢，在固定期數、每期要償還固定金額下，算出其利率為何。</t>
    </r>
  </si>
  <si>
    <r>
      <t>N</t>
    </r>
    <r>
      <rPr>
        <sz val="12"/>
        <rFont val="新細明體"/>
        <family val="1"/>
      </rPr>
      <t xml:space="preserve">RATE </t>
    </r>
    <r>
      <rPr>
        <sz val="12"/>
        <color indexed="16"/>
        <rFont val="細明體"/>
        <family val="3"/>
      </rPr>
      <t>函數的格式為：</t>
    </r>
    <r>
      <rPr>
        <sz val="12"/>
        <color indexed="16"/>
        <rFont val="Wingdings"/>
        <family val="0"/>
      </rPr>
      <t xml:space="preserve"> </t>
    </r>
  </si>
  <si>
    <r>
      <t>n</t>
    </r>
    <r>
      <rPr>
        <sz val="12"/>
        <color indexed="12"/>
        <rFont val="Times New Roman"/>
        <family val="1"/>
      </rPr>
      <t xml:space="preserve">Pmt </t>
    </r>
    <r>
      <rPr>
        <sz val="12"/>
        <color indexed="12"/>
        <rFont val="新細明體"/>
        <family val="1"/>
      </rPr>
      <t xml:space="preserve">為各期所應給付的固定金額。 </t>
    </r>
  </si>
  <si>
    <r>
      <t>n</t>
    </r>
    <r>
      <rPr>
        <sz val="12"/>
        <color indexed="12"/>
        <rFont val="Times New Roman"/>
        <family val="1"/>
      </rPr>
      <t xml:space="preserve">PMT </t>
    </r>
    <r>
      <rPr>
        <sz val="12"/>
        <color indexed="8"/>
        <rFont val="新細明體"/>
        <family val="1"/>
      </rPr>
      <t>函數可幫我們計算在固定期數、固定利率的情況下，每期要償還的錢。</t>
    </r>
  </si>
  <si>
    <r>
      <t>n</t>
    </r>
    <r>
      <rPr>
        <sz val="12"/>
        <color indexed="12"/>
        <rFont val="Times New Roman"/>
        <family val="1"/>
      </rPr>
      <t xml:space="preserve">Rate </t>
    </r>
    <r>
      <rPr>
        <sz val="12"/>
        <color indexed="12"/>
        <rFont val="新細明體"/>
        <family val="1"/>
      </rPr>
      <t xml:space="preserve">為各期的利率。 </t>
    </r>
  </si>
  <si>
    <r>
      <t>PMT</t>
    </r>
    <r>
      <rPr>
        <sz val="12"/>
        <rFont val="新細明體"/>
        <family val="1"/>
      </rPr>
      <t xml:space="preserve"> </t>
    </r>
    <r>
      <rPr>
        <sz val="12"/>
        <color indexed="16"/>
        <rFont val="細明體"/>
        <family val="3"/>
      </rPr>
      <t>函數的格式為：</t>
    </r>
    <r>
      <rPr>
        <sz val="12"/>
        <color indexed="16"/>
        <rFont val="Wingdings"/>
        <family val="0"/>
      </rPr>
      <t xml:space="preserve"> </t>
    </r>
  </si>
  <si>
    <t>期滿領回</t>
  </si>
  <si>
    <t xml:space="preserve">各期應給付的固定金額(每年) </t>
  </si>
  <si>
    <t>期限(年)：</t>
  </si>
  <si>
    <r>
      <t>=DATEDIF(</t>
    </r>
    <r>
      <rPr>
        <sz val="12"/>
        <rFont val="細明體"/>
        <family val="3"/>
      </rPr>
      <t>開始日期</t>
    </r>
    <r>
      <rPr>
        <sz val="12"/>
        <rFont val="Times New Roman"/>
        <family val="1"/>
      </rPr>
      <t xml:space="preserve">, </t>
    </r>
    <r>
      <rPr>
        <sz val="12"/>
        <rFont val="細明體"/>
        <family val="3"/>
      </rPr>
      <t>結束日期</t>
    </r>
    <r>
      <rPr>
        <sz val="12"/>
        <rFont val="Times New Roman"/>
        <family val="1"/>
      </rPr>
      <t xml:space="preserve">, </t>
    </r>
    <r>
      <rPr>
        <sz val="12"/>
        <rFont val="細明體"/>
        <family val="3"/>
      </rPr>
      <t>差距單位參數</t>
    </r>
    <r>
      <rPr>
        <sz val="12"/>
        <rFont val="Times New Roman"/>
        <family val="1"/>
      </rPr>
      <t>)</t>
    </r>
  </si>
  <si>
    <r>
      <t>公</t>
    </r>
    <r>
      <rPr>
        <sz val="12"/>
        <rFont val="細明體"/>
        <family val="3"/>
      </rPr>
      <t>式</t>
    </r>
  </si>
  <si>
    <t>滿１０年</t>
  </si>
  <si>
    <t>年資獎金</t>
  </si>
  <si>
    <t>現值/在某種獲利條件下所需投資本金</t>
  </si>
  <si>
    <t>=FV(F2,F3,F4,,1)</t>
  </si>
  <si>
    <t>=PV(F2,F3,F4,,1)</t>
  </si>
  <si>
    <t>貨款年利率</t>
  </si>
  <si>
    <t>年利率</t>
  </si>
  <si>
    <t>預定存款金額：</t>
  </si>
  <si>
    <t>存款期限(年)：</t>
  </si>
  <si>
    <t>每月存款金額</t>
  </si>
  <si>
    <t>房屋貨款分析表</t>
  </si>
  <si>
    <t>房屋貨款分析表</t>
  </si>
  <si>
    <t>儲蓄存款期間分析表</t>
  </si>
  <si>
    <t>存款金額(月)：</t>
  </si>
  <si>
    <t>年利率：</t>
  </si>
  <si>
    <r>
      <t>B5</t>
    </r>
    <r>
      <rPr>
        <sz val="12"/>
        <rFont val="新細明體"/>
        <family val="1"/>
      </rPr>
      <t>代表只須繳</t>
    </r>
    <r>
      <rPr>
        <sz val="12"/>
        <rFont val="新細明體"/>
        <family val="1"/>
      </rPr>
      <t>118,153元即可享有此投資報酬率</t>
    </r>
  </si>
  <si>
    <r>
      <t>●以下為加速折舊法：為使</t>
    </r>
    <r>
      <rPr>
        <sz val="12"/>
        <color indexed="10"/>
        <rFont val="新細明體"/>
        <family val="1"/>
      </rPr>
      <t>在使用年度內，越早提列較多的折舊金額</t>
    </r>
  </si>
  <si>
    <t>&lt;=一定要用負數表示</t>
  </si>
  <si>
    <t>第1年投資</t>
  </si>
  <si>
    <t>第2年投資</t>
  </si>
  <si>
    <t>第4年領回</t>
  </si>
  <si>
    <t>第5年領回</t>
  </si>
  <si>
    <t>第6年領回</t>
  </si>
  <si>
    <t>六年儲蓄型保單</t>
  </si>
  <si>
    <t>內部報酬率</t>
  </si>
  <si>
    <t>第3年領回</t>
  </si>
  <si>
    <t>●假設前二年各投保金額為10萬，可以在第3,4,5,6年起分別領回：5000、5000、5000、20 萬，求此投資的內部報酬率：</t>
  </si>
  <si>
    <r>
      <t>1</t>
    </r>
    <r>
      <rPr>
        <sz val="12"/>
        <rFont val="新細明體"/>
        <family val="1"/>
      </rPr>
      <t>899/1/2</t>
    </r>
  </si>
  <si>
    <t>=(TODAY()-D3)/365.25</t>
  </si>
  <si>
    <t>NPER 函數</t>
  </si>
  <si>
    <t>ABS函數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</si>
</sst>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_�"/>
    <numFmt numFmtId="177" formatCode="0;_ꐀ"/>
    <numFmt numFmtId="178" formatCode="0.0;_ꐀ"/>
    <numFmt numFmtId="179" formatCode="0.00;_ꐀ"/>
    <numFmt numFmtId="180" formatCode="_-&quot;$&quot;* #,##0_-;\-&quot;$&quot;* #,##0_-;_-&quot;$&quot;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_(* #,##0_);_(* \(#,##0\);_(* &quot;-&quot;_);_(@_)"/>
    <numFmt numFmtId="186" formatCode="_-* #,##0_-;\-* #,##0_-;_-* &quot;-&quot;??_-;_-@_-"/>
    <numFmt numFmtId="187" formatCode="0_ "/>
    <numFmt numFmtId="188" formatCode="_(&quot;$&quot;\ * #,##0_);_(&quot;$&quot;\ * \(#,##0\);_(&quot;$&quot;\ * &quot;-&quot;_);_(@_)"/>
    <numFmt numFmtId="189" formatCode="0&quot; 歲&quot;"/>
    <numFmt numFmtId="190" formatCode="[$-404]e\.mm\.dd"/>
    <numFmt numFmtId="191" formatCode="&quot;$&quot;#,##0_);[Red]\(&quot;$&quot;#,##0\)"/>
    <numFmt numFmtId="192" formatCode="m&quot;月&quot;d&quot;日&quot;"/>
    <numFmt numFmtId="193" formatCode="h:mm"/>
    <numFmt numFmtId="194" formatCode="0.0000_ "/>
    <numFmt numFmtId="195" formatCode="0.000_ "/>
    <numFmt numFmtId="196" formatCode="0.00_ "/>
    <numFmt numFmtId="197" formatCode="0.0_ "/>
    <numFmt numFmtId="198" formatCode="[$-404]e/m/d;@"/>
    <numFmt numFmtId="199" formatCode="&quot;$&quot;#,##0_);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"/>
    <numFmt numFmtId="206" formatCode="0.0000"/>
    <numFmt numFmtId="207" formatCode="0.000"/>
    <numFmt numFmtId="208" formatCode="0.00000"/>
    <numFmt numFmtId="209" formatCode="0.000000"/>
    <numFmt numFmtId="210" formatCode="h:mm:ss"/>
    <numFmt numFmtId="211" formatCode="mmm\-yyyy"/>
    <numFmt numFmtId="212" formatCode="yyyy/m/d\ h:mm"/>
    <numFmt numFmtId="213" formatCode="aaaa"/>
    <numFmt numFmtId="214" formatCode="[$-404]aaaa;@"/>
    <numFmt numFmtId="215" formatCode="&quot;$&quot;#,##0.0;[Red]\-&quot;$&quot;#,##0.0"/>
    <numFmt numFmtId="216" formatCode="#,##0_);[Red]\(#,##0\)"/>
    <numFmt numFmtId="217" formatCode="&quot;$&quot;#,##0"/>
    <numFmt numFmtId="218" formatCode="[$-404]ggyyyy&quot;年&quot;m&quot;月&quot;d&quot;日&quot;"/>
    <numFmt numFmtId="219" formatCode="yyyy/m/d;@"/>
    <numFmt numFmtId="220" formatCode="[$-404]AM/PM\ hh:mm:ss"/>
    <numFmt numFmtId="221" formatCode="h:mm:ss;@"/>
    <numFmt numFmtId="222" formatCode="yyyy/m/d\ hh:mm\ AM/PM"/>
    <numFmt numFmtId="223" formatCode="h:mm;@"/>
    <numFmt numFmtId="224" formatCode="[$-F400]h:mm:ss\ AM/PM"/>
    <numFmt numFmtId="225" formatCode="[$-409]h:mm\ AM/PM;@"/>
    <numFmt numFmtId="226" formatCode="000"/>
    <numFmt numFmtId="227" formatCode="@@@"/>
    <numFmt numFmtId="228" formatCode="0.0,"/>
    <numFmt numFmtId="229" formatCode="m/d/yy;@"/>
    <numFmt numFmtId="230" formatCode="0.000%"/>
    <numFmt numFmtId="231" formatCode="#,##0_ ;[Red]\-#,##0\ "/>
  </numFmts>
  <fonts count="3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sz val="12"/>
      <name val="細明體"/>
      <family val="3"/>
    </font>
    <font>
      <sz val="12"/>
      <color indexed="10"/>
      <name val="新細明體"/>
      <family val="1"/>
    </font>
    <font>
      <u val="single"/>
      <sz val="12"/>
      <color indexed="12"/>
      <name val="新細明體"/>
      <family val="1"/>
    </font>
    <font>
      <b/>
      <i/>
      <sz val="14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3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16"/>
      <name val="Wingdings"/>
      <family val="0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sz val="12"/>
      <name val="細明體"/>
      <family val="3"/>
    </font>
    <font>
      <b/>
      <sz val="12"/>
      <color indexed="9"/>
      <name val="細明體"/>
      <family val="3"/>
    </font>
    <font>
      <sz val="12"/>
      <color indexed="10"/>
      <name val="細明體"/>
      <family val="3"/>
    </font>
    <font>
      <b/>
      <sz val="9"/>
      <name val="新細明體"/>
      <family val="1"/>
    </font>
    <font>
      <sz val="12"/>
      <name val="華康粗圓體"/>
      <family val="3"/>
    </font>
    <font>
      <sz val="18"/>
      <color indexed="20"/>
      <name val="華康勘亭流"/>
      <family val="3"/>
    </font>
    <font>
      <sz val="12"/>
      <color indexed="9"/>
      <name val="華康少女文字W3"/>
      <family val="3"/>
    </font>
    <font>
      <sz val="12"/>
      <color indexed="52"/>
      <name val="Wingdings"/>
      <family val="0"/>
    </font>
    <font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12"/>
      <color indexed="16"/>
      <name val="細明體"/>
      <family val="3"/>
    </font>
    <font>
      <sz val="12"/>
      <name val="Wingdings"/>
      <family val="0"/>
    </font>
    <font>
      <sz val="16"/>
      <color indexed="56"/>
      <name val="新細明體"/>
      <family val="1"/>
    </font>
    <font>
      <b/>
      <sz val="12"/>
      <color indexed="56"/>
      <name val="新細明體"/>
      <family val="1"/>
    </font>
    <font>
      <sz val="12"/>
      <color indexed="63"/>
      <name val="新細明體"/>
      <family val="1"/>
    </font>
    <font>
      <sz val="12"/>
      <color indexed="10"/>
      <name val="Times New Roman"/>
      <family val="1"/>
    </font>
    <font>
      <b/>
      <sz val="8"/>
      <name val="新細明體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>
        <color indexed="63"/>
      </right>
      <top>
        <color indexed="63"/>
      </top>
      <bottom style="thick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1" xfId="23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8" fontId="0" fillId="0" borderId="3" xfId="0" applyNumberFormat="1" applyFont="1" applyBorder="1" applyAlignment="1">
      <alignment vertical="center"/>
    </xf>
    <xf numFmtId="8" fontId="2" fillId="0" borderId="0" xfId="0" applyNumberFormat="1" applyFont="1" applyAlignment="1">
      <alignment vertic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8" fontId="0" fillId="0" borderId="0" xfId="0" applyNumberFormat="1" applyFont="1" applyBorder="1" applyAlignment="1">
      <alignment vertical="center"/>
    </xf>
    <xf numFmtId="8" fontId="0" fillId="0" borderId="5" xfId="0" applyNumberFormat="1" applyFont="1" applyBorder="1" applyAlignment="1">
      <alignment vertical="center"/>
    </xf>
    <xf numFmtId="0" fontId="7" fillId="3" borderId="0" xfId="15" applyFont="1" applyFill="1" applyAlignment="1">
      <alignment horizontal="centerContinuous"/>
      <protection/>
    </xf>
    <xf numFmtId="0" fontId="8" fillId="3" borderId="0" xfId="15" applyFont="1" applyFill="1" applyAlignment="1">
      <alignment horizontal="centerContinuous"/>
      <protection/>
    </xf>
    <xf numFmtId="0" fontId="0" fillId="0" borderId="0" xfId="15">
      <alignment/>
      <protection/>
    </xf>
    <xf numFmtId="0" fontId="9" fillId="4" borderId="0" xfId="15" applyFont="1" applyFill="1" applyAlignment="1">
      <alignment horizontal="center"/>
      <protection/>
    </xf>
    <xf numFmtId="0" fontId="2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198" fontId="0" fillId="0" borderId="0" xfId="15" applyNumberFormat="1">
      <alignment/>
      <protection/>
    </xf>
    <xf numFmtId="197" fontId="0" fillId="0" borderId="0" xfId="15" applyNumberFormat="1" applyAlignment="1">
      <alignment horizontal="center"/>
      <protection/>
    </xf>
    <xf numFmtId="0" fontId="12" fillId="0" borderId="0" xfId="0" applyFont="1" applyAlignment="1">
      <alignment vertical="center"/>
    </xf>
    <xf numFmtId="0" fontId="0" fillId="0" borderId="0" xfId="15" applyFont="1">
      <alignment/>
      <protection/>
    </xf>
    <xf numFmtId="14" fontId="0" fillId="0" borderId="0" xfId="15" applyNumberFormat="1">
      <alignment/>
      <protection/>
    </xf>
    <xf numFmtId="0" fontId="15" fillId="0" borderId="0" xfId="18" applyFont="1">
      <alignment/>
      <protection/>
    </xf>
    <xf numFmtId="0" fontId="2" fillId="0" borderId="0" xfId="18">
      <alignment/>
      <protection/>
    </xf>
    <xf numFmtId="0" fontId="16" fillId="5" borderId="0" xfId="18" applyFont="1" applyFill="1">
      <alignment/>
      <protection/>
    </xf>
    <xf numFmtId="14" fontId="2" fillId="0" borderId="0" xfId="18" applyNumberFormat="1">
      <alignment/>
      <protection/>
    </xf>
    <xf numFmtId="0" fontId="4" fillId="0" borderId="0" xfId="18" applyFont="1">
      <alignment/>
      <protection/>
    </xf>
    <xf numFmtId="0" fontId="15" fillId="0" borderId="0" xfId="18" applyFont="1" applyAlignment="1">
      <alignment horizontal="right"/>
      <protection/>
    </xf>
    <xf numFmtId="14" fontId="4" fillId="0" borderId="0" xfId="18" applyNumberFormat="1" applyFont="1">
      <alignment/>
      <protection/>
    </xf>
    <xf numFmtId="0" fontId="15" fillId="0" borderId="0" xfId="18" applyFont="1" applyAlignment="1">
      <alignment horizontal="left"/>
      <protection/>
    </xf>
    <xf numFmtId="0" fontId="4" fillId="0" borderId="0" xfId="18" applyFont="1" applyAlignment="1">
      <alignment horizontal="right"/>
      <protection/>
    </xf>
    <xf numFmtId="14" fontId="0" fillId="0" borderId="0" xfId="15" applyNumberFormat="1" applyFont="1" quotePrefix="1">
      <alignment/>
      <protection/>
    </xf>
    <xf numFmtId="0" fontId="17" fillId="0" borderId="0" xfId="18" applyFont="1">
      <alignment/>
      <protection/>
    </xf>
    <xf numFmtId="0" fontId="5" fillId="0" borderId="0" xfId="15" applyFont="1">
      <alignment/>
      <protection/>
    </xf>
    <xf numFmtId="0" fontId="8" fillId="0" borderId="0" xfId="16" applyFont="1">
      <alignment vertical="center"/>
      <protection/>
    </xf>
    <xf numFmtId="0" fontId="12" fillId="0" borderId="0" xfId="16" applyFont="1">
      <alignment vertical="center"/>
      <protection/>
    </xf>
    <xf numFmtId="0" fontId="0" fillId="2" borderId="0" xfId="15" applyFont="1" applyFill="1">
      <alignment/>
      <protection/>
    </xf>
    <xf numFmtId="0" fontId="0" fillId="0" borderId="0" xfId="15" applyFill="1">
      <alignment/>
      <protection/>
    </xf>
    <xf numFmtId="0" fontId="0" fillId="0" borderId="0" xfId="16">
      <alignment vertical="center"/>
      <protection/>
    </xf>
    <xf numFmtId="0" fontId="11" fillId="0" borderId="0" xfId="0" applyFont="1" applyAlignment="1">
      <alignment vertical="center"/>
    </xf>
    <xf numFmtId="0" fontId="0" fillId="0" borderId="0" xfId="17" applyAlignment="1">
      <alignment horizontal="center" vertical="center"/>
      <protection/>
    </xf>
    <xf numFmtId="0" fontId="19" fillId="6" borderId="6" xfId="17" applyFont="1" applyFill="1" applyBorder="1" applyAlignment="1">
      <alignment horizontal="center" vertical="center"/>
      <protection/>
    </xf>
    <xf numFmtId="41" fontId="0" fillId="0" borderId="7" xfId="20" applyBorder="1" applyAlignment="1">
      <alignment horizontal="center" vertical="center"/>
    </xf>
    <xf numFmtId="0" fontId="0" fillId="0" borderId="7" xfId="17" applyBorder="1" applyAlignment="1">
      <alignment horizontal="center" vertical="center"/>
      <protection/>
    </xf>
    <xf numFmtId="0" fontId="0" fillId="0" borderId="6" xfId="17" applyBorder="1" applyAlignment="1">
      <alignment horizontal="center" vertical="center"/>
      <protection/>
    </xf>
    <xf numFmtId="0" fontId="21" fillId="5" borderId="6" xfId="17" applyFont="1" applyFill="1" applyBorder="1" applyAlignment="1">
      <alignment horizontal="center" vertical="center"/>
      <protection/>
    </xf>
    <xf numFmtId="0" fontId="21" fillId="5" borderId="7" xfId="17" applyFont="1" applyFill="1" applyBorder="1" applyAlignment="1">
      <alignment horizontal="center" vertical="center"/>
      <protection/>
    </xf>
    <xf numFmtId="6" fontId="0" fillId="0" borderId="7" xfId="17" applyNumberFormat="1" applyBorder="1" applyAlignment="1">
      <alignment horizontal="center" vertical="center"/>
      <protection/>
    </xf>
    <xf numFmtId="6" fontId="0" fillId="0" borderId="0" xfId="17" applyNumberFormat="1" applyAlignment="1">
      <alignment horizontal="center" vertical="center"/>
      <protection/>
    </xf>
    <xf numFmtId="0" fontId="0" fillId="0" borderId="8" xfId="17" applyBorder="1" applyAlignment="1">
      <alignment horizontal="center" vertical="center"/>
      <protection/>
    </xf>
    <xf numFmtId="0" fontId="22" fillId="0" borderId="0" xfId="0" applyFont="1" applyAlignment="1">
      <alignment vertical="center"/>
    </xf>
    <xf numFmtId="8" fontId="2" fillId="0" borderId="0" xfId="0" applyNumberFormat="1" applyFont="1" applyAlignment="1" quotePrefix="1">
      <alignment vertical="center"/>
    </xf>
    <xf numFmtId="0" fontId="0" fillId="0" borderId="0" xfId="0" applyFont="1" applyAlignment="1">
      <alignment vertical="center"/>
    </xf>
    <xf numFmtId="6" fontId="0" fillId="0" borderId="0" xfId="17" applyNumberFormat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17" applyBorder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9" fillId="6" borderId="3" xfId="17" applyFont="1" applyFill="1" applyBorder="1" applyAlignment="1">
      <alignment horizontal="left" vertical="center"/>
      <protection/>
    </xf>
    <xf numFmtId="0" fontId="0" fillId="0" borderId="3" xfId="17" applyBorder="1" applyAlignment="1">
      <alignment horizontal="center" vertical="center"/>
      <protection/>
    </xf>
    <xf numFmtId="0" fontId="0" fillId="0" borderId="3" xfId="17" applyFont="1" applyBorder="1" applyAlignment="1">
      <alignment horizontal="left" vertical="center"/>
      <protection/>
    </xf>
    <xf numFmtId="6" fontId="0" fillId="0" borderId="3" xfId="17" applyNumberFormat="1" applyBorder="1" applyAlignment="1">
      <alignment horizontal="center" vertical="center"/>
      <protection/>
    </xf>
    <xf numFmtId="0" fontId="0" fillId="0" borderId="0" xfId="0" applyAlignment="1" quotePrefix="1">
      <alignment vertical="center"/>
    </xf>
    <xf numFmtId="0" fontId="0" fillId="2" borderId="3" xfId="17" applyFont="1" applyFill="1" applyBorder="1" applyAlignment="1">
      <alignment horizontal="left" vertical="center"/>
      <protection/>
    </xf>
    <xf numFmtId="6" fontId="0" fillId="2" borderId="3" xfId="17" applyNumberFormat="1" applyFill="1" applyBorder="1" applyAlignment="1">
      <alignment horizontal="center" vertical="center"/>
      <protection/>
    </xf>
    <xf numFmtId="0" fontId="0" fillId="7" borderId="3" xfId="17" applyFont="1" applyFill="1" applyBorder="1" applyAlignment="1">
      <alignment horizontal="left" vertical="center"/>
      <protection/>
    </xf>
    <xf numFmtId="6" fontId="0" fillId="7" borderId="3" xfId="17" applyNumberFormat="1" applyFill="1" applyBorder="1" applyAlignment="1">
      <alignment horizontal="center" vertical="center"/>
      <protection/>
    </xf>
    <xf numFmtId="6" fontId="0" fillId="0" borderId="9" xfId="17" applyNumberFormat="1" applyBorder="1" applyAlignment="1">
      <alignment horizontal="center" vertical="center"/>
      <protection/>
    </xf>
    <xf numFmtId="0" fontId="21" fillId="0" borderId="0" xfId="17" applyFont="1" applyFill="1" applyBorder="1" applyAlignment="1">
      <alignment horizontal="center" vertical="center"/>
      <protection/>
    </xf>
    <xf numFmtId="9" fontId="0" fillId="0" borderId="0" xfId="17" applyNumberFormat="1" applyFill="1" applyBorder="1" applyAlignment="1">
      <alignment horizontal="center" vertical="center"/>
      <protection/>
    </xf>
    <xf numFmtId="6" fontId="0" fillId="0" borderId="0" xfId="17" applyNumberFormat="1" applyFill="1" applyBorder="1" applyAlignment="1">
      <alignment horizontal="center" vertical="center"/>
      <protection/>
    </xf>
    <xf numFmtId="0" fontId="0" fillId="0" borderId="0" xfId="17" applyFill="1" applyBorder="1" applyAlignment="1">
      <alignment horizontal="center" vertical="center"/>
      <protection/>
    </xf>
    <xf numFmtId="9" fontId="0" fillId="0" borderId="3" xfId="0" applyNumberFormat="1" applyBorder="1" applyAlignment="1">
      <alignment horizontal="center" vertical="center"/>
    </xf>
    <xf numFmtId="0" fontId="0" fillId="0" borderId="10" xfId="17" applyBorder="1" applyAlignment="1">
      <alignment horizontal="center" vertical="center"/>
      <protection/>
    </xf>
    <xf numFmtId="0" fontId="0" fillId="2" borderId="3" xfId="17" applyFill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0" borderId="15" xfId="0" applyFont="1" applyBorder="1" applyAlignment="1">
      <alignment/>
    </xf>
    <xf numFmtId="14" fontId="26" fillId="0" borderId="15" xfId="0" applyNumberFormat="1" applyFont="1" applyBorder="1" applyAlignment="1">
      <alignment/>
    </xf>
    <xf numFmtId="203" fontId="26" fillId="0" borderId="15" xfId="0" applyNumberFormat="1" applyFont="1" applyBorder="1" applyAlignment="1">
      <alignment/>
    </xf>
    <xf numFmtId="203" fontId="26" fillId="8" borderId="16" xfId="0" applyNumberFormat="1" applyFont="1" applyFill="1" applyBorder="1" applyAlignment="1">
      <alignment/>
    </xf>
    <xf numFmtId="203" fontId="26" fillId="8" borderId="15" xfId="0" applyNumberFormat="1" applyFont="1" applyFill="1" applyBorder="1" applyAlignment="1">
      <alignment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9" borderId="17" xfId="0" applyFill="1" applyBorder="1" applyAlignment="1">
      <alignment vertical="center"/>
    </xf>
    <xf numFmtId="0" fontId="0" fillId="9" borderId="0" xfId="0" applyFill="1" applyAlignment="1">
      <alignment vertical="center"/>
    </xf>
    <xf numFmtId="41" fontId="0" fillId="0" borderId="7" xfId="20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0" xfId="17" applyAlignment="1">
      <alignment horizontal="left" vertical="center"/>
      <protection/>
    </xf>
    <xf numFmtId="0" fontId="0" fillId="0" borderId="7" xfId="17" applyBorder="1" applyAlignment="1">
      <alignment vertical="center"/>
      <protection/>
    </xf>
    <xf numFmtId="41" fontId="0" fillId="0" borderId="7" xfId="20" applyBorder="1" applyAlignment="1">
      <alignment vertical="center"/>
    </xf>
    <xf numFmtId="10" fontId="0" fillId="0" borderId="3" xfId="17" applyNumberFormat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10" fontId="0" fillId="0" borderId="3" xfId="0" applyNumberFormat="1" applyBorder="1" applyAlignment="1">
      <alignment horizontal="center" vertical="center"/>
    </xf>
    <xf numFmtId="0" fontId="0" fillId="10" borderId="18" xfId="0" applyFont="1" applyFill="1" applyBorder="1" applyAlignment="1">
      <alignment vertical="center"/>
    </xf>
    <xf numFmtId="0" fontId="0" fillId="10" borderId="19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20" xfId="0" applyFont="1" applyFill="1" applyBorder="1" applyAlignment="1">
      <alignment vertical="center"/>
    </xf>
    <xf numFmtId="22" fontId="2" fillId="0" borderId="0" xfId="18" applyNumberFormat="1" applyAlignment="1">
      <alignment horizontal="left"/>
      <protection/>
    </xf>
    <xf numFmtId="0" fontId="2" fillId="0" borderId="0" xfId="18" applyFont="1" applyAlignment="1" quotePrefix="1">
      <alignment horizontal="left"/>
      <protection/>
    </xf>
    <xf numFmtId="0" fontId="0" fillId="0" borderId="0" xfId="17" applyFont="1" applyFill="1" applyBorder="1" applyAlignment="1">
      <alignment horizontal="left" vertical="center"/>
      <protection/>
    </xf>
    <xf numFmtId="6" fontId="0" fillId="0" borderId="0" xfId="0" applyNumberFormat="1" applyAlignment="1" quotePrefix="1">
      <alignment vertical="center"/>
    </xf>
    <xf numFmtId="9" fontId="0" fillId="0" borderId="6" xfId="17" applyNumberFormat="1" applyBorder="1" applyAlignment="1">
      <alignment horizontal="center" vertical="center"/>
      <protection/>
    </xf>
    <xf numFmtId="0" fontId="0" fillId="0" borderId="0" xfId="17" applyBorder="1" applyAlignment="1">
      <alignment horizontal="center" vertical="center"/>
      <protection/>
    </xf>
    <xf numFmtId="9" fontId="0" fillId="0" borderId="3" xfId="17" applyNumberFormat="1" applyBorder="1" applyAlignment="1">
      <alignment horizontal="center" vertical="center"/>
      <protection/>
    </xf>
    <xf numFmtId="10" fontId="0" fillId="0" borderId="3" xfId="17" applyNumberFormat="1" applyBorder="1" applyAlignment="1">
      <alignment horizontal="right" vertical="center"/>
      <protection/>
    </xf>
    <xf numFmtId="0" fontId="19" fillId="6" borderId="6" xfId="17" applyFont="1" applyFill="1" applyBorder="1" applyAlignment="1">
      <alignment horizontal="right" vertical="center"/>
      <protection/>
    </xf>
    <xf numFmtId="0" fontId="21" fillId="5" borderId="2" xfId="17" applyFont="1" applyFill="1" applyBorder="1" applyAlignment="1">
      <alignment horizontal="right" vertical="center"/>
      <protection/>
    </xf>
    <xf numFmtId="0" fontId="5" fillId="0" borderId="0" xfId="17" applyFont="1" applyBorder="1" applyAlignment="1">
      <alignment horizontal="left" vertical="center"/>
      <protection/>
    </xf>
    <xf numFmtId="6" fontId="0" fillId="0" borderId="3" xfId="17" applyNumberFormat="1" applyBorder="1" applyAlignment="1" applyProtection="1">
      <alignment horizontal="center" vertical="center"/>
      <protection hidden="1" locked="0"/>
    </xf>
    <xf numFmtId="41" fontId="0" fillId="0" borderId="0" xfId="20" applyAlignment="1">
      <alignment vertical="center"/>
    </xf>
    <xf numFmtId="231" fontId="0" fillId="0" borderId="0" xfId="20" applyNumberFormat="1" applyAlignment="1">
      <alignment vertical="center"/>
    </xf>
    <xf numFmtId="41" fontId="0" fillId="0" borderId="17" xfId="20" applyBorder="1" applyAlignment="1">
      <alignment vertical="center"/>
    </xf>
    <xf numFmtId="0" fontId="30" fillId="2" borderId="0" xfId="0" applyFont="1" applyFill="1" applyAlignment="1">
      <alignment vertical="center"/>
    </xf>
    <xf numFmtId="9" fontId="30" fillId="0" borderId="0" xfId="0" applyNumberFormat="1" applyFont="1" applyAlignment="1">
      <alignment vertical="center"/>
    </xf>
    <xf numFmtId="0" fontId="31" fillId="0" borderId="0" xfId="0" applyFont="1" applyFill="1" applyAlignment="1">
      <alignment vertical="center"/>
    </xf>
    <xf numFmtId="0" fontId="0" fillId="2" borderId="21" xfId="0" applyFill="1" applyBorder="1" applyAlignment="1">
      <alignment vertical="center"/>
    </xf>
    <xf numFmtId="9" fontId="0" fillId="2" borderId="21" xfId="0" applyNumberFormat="1" applyFill="1" applyBorder="1" applyAlignment="1">
      <alignment vertical="center"/>
    </xf>
    <xf numFmtId="41" fontId="0" fillId="0" borderId="3" xfId="20" applyBorder="1" applyAlignment="1">
      <alignment horizontal="center" vertical="center"/>
    </xf>
    <xf numFmtId="0" fontId="19" fillId="2" borderId="6" xfId="17" applyFont="1" applyFill="1" applyBorder="1" applyAlignment="1">
      <alignment horizontal="center" vertical="center"/>
      <protection/>
    </xf>
    <xf numFmtId="10" fontId="0" fillId="2" borderId="7" xfId="20" applyNumberFormat="1" applyFill="1" applyBorder="1" applyAlignment="1">
      <alignment horizontal="right" vertical="center"/>
    </xf>
    <xf numFmtId="41" fontId="5" fillId="0" borderId="7" xfId="20" applyFont="1" applyBorder="1" applyAlignment="1">
      <alignment horizontal="right" vertical="center"/>
    </xf>
    <xf numFmtId="0" fontId="0" fillId="11" borderId="0" xfId="15" applyFont="1" applyFill="1">
      <alignment/>
      <protection/>
    </xf>
    <xf numFmtId="0" fontId="0" fillId="0" borderId="0" xfId="16" applyFont="1">
      <alignment vertical="center"/>
      <protection/>
    </xf>
    <xf numFmtId="14" fontId="0" fillId="0" borderId="0" xfId="16" applyNumberFormat="1">
      <alignment vertical="center"/>
      <protection/>
    </xf>
    <xf numFmtId="14" fontId="0" fillId="0" borderId="0" xfId="16" applyNumberFormat="1" applyFont="1">
      <alignment vertical="center"/>
      <protection/>
    </xf>
    <xf numFmtId="0" fontId="32" fillId="0" borderId="0" xfId="15" applyFont="1" applyFill="1" applyAlignment="1" quotePrefix="1">
      <alignment horizontal="left"/>
      <protection/>
    </xf>
    <xf numFmtId="0" fontId="20" fillId="6" borderId="3" xfId="17" applyFont="1" applyFill="1" applyBorder="1" applyAlignment="1">
      <alignment horizontal="center" vertical="center"/>
      <protection/>
    </xf>
    <xf numFmtId="0" fontId="20" fillId="6" borderId="22" xfId="17" applyFont="1" applyFill="1" applyBorder="1" applyAlignment="1">
      <alignment horizontal="center" vertical="center"/>
      <protection/>
    </xf>
    <xf numFmtId="0" fontId="20" fillId="6" borderId="23" xfId="17" applyFont="1" applyFill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24" fillId="12" borderId="20" xfId="0" applyFont="1" applyFill="1" applyBorder="1" applyAlignment="1">
      <alignment/>
    </xf>
    <xf numFmtId="0" fontId="15" fillId="0" borderId="0" xfId="18" applyFont="1" applyAlignment="1">
      <alignment horizontal="center"/>
      <protection/>
    </xf>
  </cellXfs>
  <cellStyles count="12">
    <cellStyle name="Normal" xfId="0"/>
    <cellStyle name="一般_Ch09-06" xfId="15"/>
    <cellStyle name="一般_F002-Ch09-公式及函數" xfId="16"/>
    <cellStyle name="一般_常用公式" xfId="17"/>
    <cellStyle name="一般_常用公式-date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1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38100</xdr:rowOff>
    </xdr:from>
    <xdr:to>
      <xdr:col>4</xdr:col>
      <xdr:colOff>962025</xdr:colOff>
      <xdr:row>16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8610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23</xdr:row>
      <xdr:rowOff>200025</xdr:rowOff>
    </xdr:from>
    <xdr:to>
      <xdr:col>2</xdr:col>
      <xdr:colOff>371475</xdr:colOff>
      <xdr:row>26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5133975"/>
          <a:ext cx="3762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10</xdr:row>
      <xdr:rowOff>76200</xdr:rowOff>
    </xdr:from>
    <xdr:to>
      <xdr:col>9</xdr:col>
      <xdr:colOff>542925</xdr:colOff>
      <xdr:row>16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71700"/>
          <a:ext cx="7848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19</xdr:row>
      <xdr:rowOff>57150</xdr:rowOff>
    </xdr:from>
    <xdr:to>
      <xdr:col>7</xdr:col>
      <xdr:colOff>542925</xdr:colOff>
      <xdr:row>25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4038600"/>
          <a:ext cx="6496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27</xdr:row>
      <xdr:rowOff>57150</xdr:rowOff>
    </xdr:from>
    <xdr:to>
      <xdr:col>6</xdr:col>
      <xdr:colOff>200025</xdr:colOff>
      <xdr:row>33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5715000"/>
          <a:ext cx="5410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14</xdr:row>
      <xdr:rowOff>9525</xdr:rowOff>
    </xdr:from>
    <xdr:to>
      <xdr:col>10</xdr:col>
      <xdr:colOff>228600</xdr:colOff>
      <xdr:row>16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981325"/>
          <a:ext cx="7086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17</xdr:row>
      <xdr:rowOff>19050</xdr:rowOff>
    </xdr:from>
    <xdr:to>
      <xdr:col>10</xdr:col>
      <xdr:colOff>0</xdr:colOff>
      <xdr:row>27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619500"/>
          <a:ext cx="69627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133350</xdr:rowOff>
    </xdr:from>
    <xdr:to>
      <xdr:col>3</xdr:col>
      <xdr:colOff>295275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305050"/>
          <a:ext cx="3762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20</xdr:row>
      <xdr:rowOff>19050</xdr:rowOff>
    </xdr:from>
    <xdr:to>
      <xdr:col>5</xdr:col>
      <xdr:colOff>95250</xdr:colOff>
      <xdr:row>22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4514850"/>
          <a:ext cx="5838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57150</xdr:rowOff>
    </xdr:from>
    <xdr:to>
      <xdr:col>3</xdr:col>
      <xdr:colOff>200025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66975"/>
          <a:ext cx="3276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12</xdr:row>
      <xdr:rowOff>190500</xdr:rowOff>
    </xdr:from>
    <xdr:to>
      <xdr:col>9</xdr:col>
      <xdr:colOff>104775</xdr:colOff>
      <xdr:row>24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28925"/>
          <a:ext cx="73056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190500</xdr:rowOff>
    </xdr:from>
    <xdr:to>
      <xdr:col>6</xdr:col>
      <xdr:colOff>114300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95625"/>
          <a:ext cx="5143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123825</xdr:rowOff>
    </xdr:from>
    <xdr:to>
      <xdr:col>6</xdr:col>
      <xdr:colOff>0</xdr:colOff>
      <xdr:row>17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352800"/>
          <a:ext cx="5562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</xdr:row>
      <xdr:rowOff>0</xdr:rowOff>
    </xdr:from>
    <xdr:to>
      <xdr:col>10</xdr:col>
      <xdr:colOff>571500</xdr:colOff>
      <xdr:row>11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552575"/>
          <a:ext cx="888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200025</xdr:rowOff>
    </xdr:from>
    <xdr:to>
      <xdr:col>5</xdr:col>
      <xdr:colOff>142875</xdr:colOff>
      <xdr:row>14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667000"/>
          <a:ext cx="487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57150</xdr:rowOff>
    </xdr:from>
    <xdr:to>
      <xdr:col>5</xdr:col>
      <xdr:colOff>190500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0"/>
          <a:ext cx="5172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171450</xdr:rowOff>
    </xdr:from>
    <xdr:to>
      <xdr:col>5</xdr:col>
      <xdr:colOff>476250</xdr:colOff>
      <xdr:row>18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105150"/>
          <a:ext cx="484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</xdr:row>
      <xdr:rowOff>76200</xdr:rowOff>
    </xdr:from>
    <xdr:to>
      <xdr:col>9</xdr:col>
      <xdr:colOff>542925</xdr:colOff>
      <xdr:row>28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4686300"/>
          <a:ext cx="78486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31</xdr:row>
      <xdr:rowOff>57150</xdr:rowOff>
    </xdr:from>
    <xdr:to>
      <xdr:col>7</xdr:col>
      <xdr:colOff>542925</xdr:colOff>
      <xdr:row>37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6553200"/>
          <a:ext cx="6496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39</xdr:row>
      <xdr:rowOff>57150</xdr:rowOff>
    </xdr:from>
    <xdr:to>
      <xdr:col>6</xdr:col>
      <xdr:colOff>200025</xdr:colOff>
      <xdr:row>45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" y="8229600"/>
          <a:ext cx="5410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2003\excel\&#20844;&#24335;&#33287;&#20989;&#25976;\&#24120;&#29992;&#20989;&#25976;-&#32113;&#35336;&#20989;&#259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2003\excel\&#20844;&#24335;&#33287;&#20989;&#25976;\&#24120;&#29992;&#20989;&#25976;-&#25991;&#23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ching\office2003\excel\&#20844;&#24335;&#33287;&#20989;&#25976;\&#24120;&#29992;&#20989;&#25976;-&#27298;&#35222;&#33287;&#21443;&#29031;&#20989;&#259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式及函數"/>
      <sheetName val="統計函數"/>
      <sheetName val="統計"/>
      <sheetName val="media"/>
      <sheetName val="stdev"/>
      <sheetName val="var"/>
      <sheetName val="sqrt"/>
      <sheetName val="counta"/>
      <sheetName val="countif"/>
      <sheetName val="sumif"/>
      <sheetName val="sumif (2)"/>
      <sheetName val="round"/>
      <sheetName val="rank"/>
      <sheetName val="countif 2"/>
      <sheetName val="frequency"/>
      <sheetName val="frequency說明"/>
      <sheetName val="frequency2"/>
      <sheetName val="frequency2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文字函數"/>
      <sheetName val="文字運算"/>
      <sheetName val="文字"/>
      <sheetName val="文字-練習"/>
      <sheetName val="LEFT"/>
      <sheetName val="RIGHT"/>
      <sheetName val="MID"/>
      <sheetName val="CONCATENATE"/>
      <sheetName val="samp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lookup"/>
      <sheetName val="vlookup2"/>
      <sheetName val="vlookup3"/>
      <sheetName val="vlookup3 (2)"/>
      <sheetName val="vlookup3 (3)"/>
      <sheetName val="hlookup1"/>
      <sheetName val="hlookup2"/>
      <sheetName val="transpose1"/>
      <sheetName val="transpose2"/>
      <sheetName val="index"/>
      <sheetName val="match"/>
      <sheetName val="match2"/>
      <sheetName val="match3"/>
      <sheetName val="index2"/>
      <sheetName val="index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C18" sqref="C18"/>
    </sheetView>
  </sheetViews>
  <sheetFormatPr defaultColWidth="9.00390625" defaultRowHeight="16.5"/>
  <cols>
    <col min="1" max="1" width="11.00390625" style="0" customWidth="1"/>
    <col min="2" max="2" width="19.125" style="0" customWidth="1"/>
  </cols>
  <sheetData>
    <row r="1" ht="16.5">
      <c r="A1" t="s">
        <v>248</v>
      </c>
    </row>
    <row r="2" ht="16.5">
      <c r="A2" t="s">
        <v>120</v>
      </c>
    </row>
    <row r="3" ht="16.5">
      <c r="A3" t="s">
        <v>117</v>
      </c>
    </row>
    <row r="4" ht="16.5">
      <c r="A4" t="s">
        <v>119</v>
      </c>
    </row>
    <row r="5" ht="16.5">
      <c r="A5" t="s">
        <v>247</v>
      </c>
    </row>
    <row r="6" ht="16.5">
      <c r="A6" t="s">
        <v>121</v>
      </c>
    </row>
    <row r="7" ht="16.5">
      <c r="A7" t="s">
        <v>118</v>
      </c>
    </row>
    <row r="8" ht="16.5">
      <c r="A8" t="s">
        <v>122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G39"/>
  <sheetViews>
    <sheetView workbookViewId="0" topLeftCell="A16">
      <selection activeCell="C5" sqref="C5:F7"/>
    </sheetView>
  </sheetViews>
  <sheetFormatPr defaultColWidth="9.00390625" defaultRowHeight="16.5"/>
  <cols>
    <col min="1" max="1" width="12.875" style="0" bestFit="1" customWidth="1"/>
    <col min="2" max="6" width="11.75390625" style="0" bestFit="1" customWidth="1"/>
  </cols>
  <sheetData>
    <row r="1" spans="1:6" ht="16.5">
      <c r="A1" s="9" t="s">
        <v>2</v>
      </c>
      <c r="B1" s="2">
        <v>600000</v>
      </c>
      <c r="C1" s="9" t="s">
        <v>3</v>
      </c>
      <c r="D1" s="2">
        <v>4500</v>
      </c>
      <c r="E1" s="9" t="s">
        <v>4</v>
      </c>
      <c r="F1" s="3">
        <v>5</v>
      </c>
    </row>
    <row r="2" spans="1:6" ht="16.5">
      <c r="A2" s="4"/>
      <c r="B2" s="5"/>
      <c r="C2" s="5"/>
      <c r="D2" s="5"/>
      <c r="E2" s="5"/>
      <c r="F2" s="5"/>
    </row>
    <row r="3" spans="1:6" ht="16.5">
      <c r="A3" s="6" t="s">
        <v>5</v>
      </c>
      <c r="B3" s="6">
        <v>1</v>
      </c>
      <c r="C3" s="6">
        <v>2</v>
      </c>
      <c r="D3" s="6">
        <v>3</v>
      </c>
      <c r="E3" s="6">
        <v>4</v>
      </c>
      <c r="F3" s="6">
        <v>5</v>
      </c>
    </row>
    <row r="4" spans="1:7" ht="16.5">
      <c r="A4" s="6" t="s">
        <v>6</v>
      </c>
      <c r="B4" s="7">
        <f>SLN($B$1,$D$1,$F$1)</f>
        <v>119100</v>
      </c>
      <c r="C4" s="7"/>
      <c r="D4" s="7"/>
      <c r="E4" s="7"/>
      <c r="F4" s="7"/>
      <c r="G4" s="8"/>
    </row>
    <row r="5" spans="1:7" ht="16.5">
      <c r="A5" s="6" t="s">
        <v>0</v>
      </c>
      <c r="B5" s="12">
        <f>DB($B$1,$D$1,$F$1,B3)</f>
        <v>374400</v>
      </c>
      <c r="C5" s="12"/>
      <c r="D5" s="12"/>
      <c r="E5" s="12"/>
      <c r="F5" s="12"/>
      <c r="G5" s="8"/>
    </row>
    <row r="6" spans="1:7" ht="16.5">
      <c r="A6" s="6" t="s">
        <v>7</v>
      </c>
      <c r="B6" s="13">
        <f>DDB($B$1,$D$1,$F$1,B3,3.15)</f>
        <v>378000</v>
      </c>
      <c r="C6" s="13"/>
      <c r="D6" s="13"/>
      <c r="E6" s="13"/>
      <c r="F6" s="13"/>
      <c r="G6" s="8"/>
    </row>
    <row r="7" spans="1:7" ht="16.5">
      <c r="A7" s="6" t="s">
        <v>1</v>
      </c>
      <c r="B7" s="13">
        <f>SYD($B$1,$D$1,$F$1,B3)</f>
        <v>198500</v>
      </c>
      <c r="C7" s="13"/>
      <c r="D7" s="13"/>
      <c r="E7" s="13"/>
      <c r="F7" s="13"/>
      <c r="G7" s="8"/>
    </row>
    <row r="8" ht="16.5">
      <c r="A8" s="1"/>
    </row>
    <row r="9" ht="16.5">
      <c r="A9" s="22" t="s">
        <v>139</v>
      </c>
    </row>
    <row r="10" ht="16.5">
      <c r="A10" s="22" t="s">
        <v>140</v>
      </c>
    </row>
    <row r="11" ht="16.5">
      <c r="A11" s="22" t="s">
        <v>141</v>
      </c>
    </row>
    <row r="12" ht="16.5">
      <c r="A12" s="22" t="s">
        <v>142</v>
      </c>
    </row>
    <row r="14" ht="16.5">
      <c r="A14" s="42" t="s">
        <v>143</v>
      </c>
    </row>
    <row r="21" ht="16.5">
      <c r="A21" t="s">
        <v>234</v>
      </c>
    </row>
    <row r="22" ht="16.5">
      <c r="A22" s="42" t="s">
        <v>144</v>
      </c>
    </row>
    <row r="31" ht="16.5">
      <c r="A31" s="22" t="s">
        <v>145</v>
      </c>
    </row>
    <row r="39" ht="16.5">
      <c r="A39" s="22" t="s">
        <v>146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G27"/>
  <sheetViews>
    <sheetView workbookViewId="0" topLeftCell="A1">
      <selection activeCell="A10" sqref="A10:IV34"/>
    </sheetView>
  </sheetViews>
  <sheetFormatPr defaultColWidth="9.00390625" defaultRowHeight="16.5"/>
  <cols>
    <col min="1" max="1" width="12.875" style="0" bestFit="1" customWidth="1"/>
    <col min="2" max="6" width="11.75390625" style="0" bestFit="1" customWidth="1"/>
  </cols>
  <sheetData>
    <row r="1" spans="1:6" ht="16.5">
      <c r="A1" s="9" t="s">
        <v>2</v>
      </c>
      <c r="B1" s="2">
        <v>600000</v>
      </c>
      <c r="C1" s="10" t="s">
        <v>3</v>
      </c>
      <c r="D1" s="2">
        <v>4500</v>
      </c>
      <c r="E1" s="10" t="s">
        <v>4</v>
      </c>
      <c r="F1" s="3">
        <v>5</v>
      </c>
    </row>
    <row r="2" spans="1:6" ht="16.5">
      <c r="A2" s="11"/>
      <c r="B2" s="5"/>
      <c r="C2" s="5"/>
      <c r="D2" s="5"/>
      <c r="E2" s="5"/>
      <c r="F2" s="5"/>
    </row>
    <row r="3" spans="1:6" ht="16.5">
      <c r="A3" s="101" t="s">
        <v>5</v>
      </c>
      <c r="B3" s="104">
        <v>1</v>
      </c>
      <c r="C3" s="104">
        <v>2</v>
      </c>
      <c r="D3" s="104">
        <v>3</v>
      </c>
      <c r="E3" s="104">
        <v>4</v>
      </c>
      <c r="F3" s="104">
        <v>5</v>
      </c>
    </row>
    <row r="4" spans="1:7" ht="16.5">
      <c r="A4" s="102" t="s">
        <v>6</v>
      </c>
      <c r="B4" s="12">
        <f>SLN($B$1,$D$1,$F$1)</f>
        <v>119100</v>
      </c>
      <c r="C4" s="12">
        <f>SLN($B$1,$D$1,$F$1)</f>
        <v>119100</v>
      </c>
      <c r="D4" s="12">
        <f>SLN($B$1,$D$1,$F$1)</f>
        <v>119100</v>
      </c>
      <c r="E4" s="12">
        <f>SLN($B$1,$D$1,$F$1)</f>
        <v>119100</v>
      </c>
      <c r="F4" s="12">
        <f>SLN($B$1,$D$1,$F$1)</f>
        <v>119100</v>
      </c>
      <c r="G4" s="8"/>
    </row>
    <row r="5" spans="1:7" ht="16.5">
      <c r="A5" s="102" t="s">
        <v>0</v>
      </c>
      <c r="B5" s="12">
        <f>DB($B$1,$D$1,$F$1,B3)</f>
        <v>374400</v>
      </c>
      <c r="C5" s="12">
        <f>DB($B$1,$D$1,$F$1,C3)</f>
        <v>140774.4</v>
      </c>
      <c r="D5" s="12">
        <f>DB($B$1,$D$1,$F$1,D3)</f>
        <v>52931.1744</v>
      </c>
      <c r="E5" s="12">
        <f>DB($B$1,$D$1,$F$1,E3)</f>
        <v>19902.1215744</v>
      </c>
      <c r="F5" s="12">
        <f>DB($B$1,$D$1,$F$1,F3)</f>
        <v>7483.1977119744015</v>
      </c>
      <c r="G5" s="54" t="s">
        <v>147</v>
      </c>
    </row>
    <row r="6" spans="1:7" ht="16.5">
      <c r="A6" s="103" t="s">
        <v>7</v>
      </c>
      <c r="B6" s="13">
        <f>DDB($B$1,$D$1,$F$1,B3,3.15)</f>
        <v>378000</v>
      </c>
      <c r="C6" s="12">
        <f>DDB($B$1,$D$1,$F$1,C3,3.15)</f>
        <v>139860</v>
      </c>
      <c r="D6" s="12">
        <f>DDB($B$1,$D$1,$F$1,D3,3.15)</f>
        <v>51748.2</v>
      </c>
      <c r="E6" s="12">
        <f>DDB($B$1,$D$1,$F$1,E3,3.15)</f>
        <v>19146.834</v>
      </c>
      <c r="F6" s="12">
        <f>DDB($B$1,$D$1,$F$1,F3,3.15)</f>
        <v>6744.9659999999985</v>
      </c>
      <c r="G6" s="54" t="s">
        <v>148</v>
      </c>
    </row>
    <row r="7" spans="1:7" ht="16.5">
      <c r="A7" s="103" t="s">
        <v>1</v>
      </c>
      <c r="B7" s="13">
        <f>SYD($B$1,$D$1,$F$1,B3)</f>
        <v>198500</v>
      </c>
      <c r="C7" s="13">
        <f>SYD($B$1,$D$1,$F$1,C3)</f>
        <v>158800</v>
      </c>
      <c r="D7" s="13">
        <f>SYD($B$1,$D$1,$F$1,D3)</f>
        <v>119100</v>
      </c>
      <c r="E7" s="13">
        <f>SYD($B$1,$D$1,$F$1,E3)</f>
        <v>79400</v>
      </c>
      <c r="F7" s="13">
        <f>SYD($B$1,$D$1,$F$1,F3)</f>
        <v>39700</v>
      </c>
      <c r="G7" s="54" t="s">
        <v>149</v>
      </c>
    </row>
    <row r="8" ht="16.5">
      <c r="A8" s="1"/>
    </row>
    <row r="10" ht="16.5">
      <c r="A10" s="42" t="s">
        <v>144</v>
      </c>
    </row>
    <row r="19" ht="16.5">
      <c r="A19" s="22" t="s">
        <v>145</v>
      </c>
    </row>
    <row r="27" ht="16.5">
      <c r="A27" s="22" t="s">
        <v>146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="75" zoomScaleNormal="75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2" sqref="F32"/>
    </sheetView>
  </sheetViews>
  <sheetFormatPr defaultColWidth="9.00390625" defaultRowHeight="16.5"/>
  <cols>
    <col min="1" max="1" width="19.75390625" style="0" customWidth="1"/>
    <col min="2" max="3" width="23.00390625" style="0" customWidth="1"/>
    <col min="4" max="4" width="17.875" style="0" customWidth="1"/>
    <col min="5" max="6" width="9.75390625" style="0" customWidth="1"/>
    <col min="7" max="7" width="14.125" style="0" customWidth="1"/>
    <col min="8" max="8" width="12.25390625" style="0" customWidth="1"/>
    <col min="9" max="9" width="11.375" style="0" customWidth="1"/>
    <col min="10" max="10" width="12.25390625" style="0" customWidth="1"/>
    <col min="11" max="11" width="13.25390625" style="0" customWidth="1"/>
  </cols>
  <sheetData>
    <row r="1" spans="1:11" ht="26.25">
      <c r="A1" s="138" t="s">
        <v>172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26.25" thickBot="1">
      <c r="A2" s="78" t="s">
        <v>173</v>
      </c>
      <c r="B2" s="79" t="s">
        <v>174</v>
      </c>
      <c r="C2" s="79" t="s">
        <v>175</v>
      </c>
      <c r="D2" s="79" t="s">
        <v>176</v>
      </c>
      <c r="E2" s="79" t="s">
        <v>177</v>
      </c>
      <c r="F2" s="79" t="s">
        <v>178</v>
      </c>
      <c r="G2" s="79" t="s">
        <v>179</v>
      </c>
      <c r="H2" s="79" t="s">
        <v>180</v>
      </c>
      <c r="I2" s="79" t="s">
        <v>181</v>
      </c>
      <c r="J2" s="79" t="s">
        <v>182</v>
      </c>
      <c r="K2" s="80" t="s">
        <v>183</v>
      </c>
    </row>
    <row r="3" spans="1:11" ht="26.25" thickTop="1">
      <c r="A3" s="81" t="s">
        <v>184</v>
      </c>
      <c r="B3" s="82" t="s">
        <v>185</v>
      </c>
      <c r="C3" s="82" t="s">
        <v>186</v>
      </c>
      <c r="D3" s="82" t="s">
        <v>187</v>
      </c>
      <c r="E3" s="83">
        <v>2</v>
      </c>
      <c r="F3" s="83" t="s">
        <v>188</v>
      </c>
      <c r="G3" s="84">
        <v>37661</v>
      </c>
      <c r="H3" s="85">
        <v>480000</v>
      </c>
      <c r="I3" s="83">
        <v>20</v>
      </c>
      <c r="J3" s="85">
        <v>100000</v>
      </c>
      <c r="K3" s="86">
        <f>IF(AND(H3&lt;&gt;0,J3&lt;&gt;0,I3&lt;&gt;0),SLN(H3,J3,I3),"")</f>
        <v>19000</v>
      </c>
    </row>
    <row r="4" spans="1:11" ht="16.5">
      <c r="A4" s="81" t="s">
        <v>189</v>
      </c>
      <c r="B4" s="82" t="s">
        <v>190</v>
      </c>
      <c r="C4" s="82" t="s">
        <v>191</v>
      </c>
      <c r="D4" s="82" t="s">
        <v>192</v>
      </c>
      <c r="E4" s="83">
        <v>14</v>
      </c>
      <c r="F4" s="83" t="s">
        <v>193</v>
      </c>
      <c r="G4" s="84">
        <v>38146</v>
      </c>
      <c r="H4" s="85">
        <v>124000</v>
      </c>
      <c r="I4" s="83">
        <v>5</v>
      </c>
      <c r="J4" s="85">
        <v>20000</v>
      </c>
      <c r="K4" s="87">
        <f>IF(AND(H4&lt;&gt;0,J4&lt;&gt;0,I4&lt;&gt;0),SLN(H4,J4,I4),"")</f>
        <v>20800</v>
      </c>
    </row>
    <row r="5" spans="1:11" ht="16.5">
      <c r="A5" s="81"/>
      <c r="B5" s="82"/>
      <c r="C5" s="82"/>
      <c r="D5" s="82"/>
      <c r="E5" s="83"/>
      <c r="F5" s="83"/>
      <c r="G5" s="83"/>
      <c r="H5" s="85"/>
      <c r="I5" s="83"/>
      <c r="J5" s="85"/>
      <c r="K5" s="87">
        <f aca="true" t="shared" si="0" ref="K5:K17">IF(AND(H5&lt;&gt;0,J5&lt;&gt;0,I5&lt;&gt;0),SLN(H5,J5,I5),"")</f>
      </c>
    </row>
    <row r="6" spans="1:11" ht="16.5">
      <c r="A6" s="81"/>
      <c r="B6" s="82"/>
      <c r="C6" s="82"/>
      <c r="D6" s="82"/>
      <c r="E6" s="83"/>
      <c r="F6" s="83"/>
      <c r="G6" s="83"/>
      <c r="H6" s="85"/>
      <c r="I6" s="83"/>
      <c r="J6" s="85"/>
      <c r="K6" s="87">
        <f t="shared" si="0"/>
      </c>
    </row>
    <row r="7" spans="1:11" ht="16.5">
      <c r="A7" s="81"/>
      <c r="B7" s="82"/>
      <c r="C7" s="82"/>
      <c r="D7" s="82"/>
      <c r="E7" s="83"/>
      <c r="F7" s="83"/>
      <c r="G7" s="83"/>
      <c r="H7" s="85"/>
      <c r="I7" s="83"/>
      <c r="J7" s="85"/>
      <c r="K7" s="87">
        <f t="shared" si="0"/>
      </c>
    </row>
    <row r="8" spans="1:11" ht="16.5">
      <c r="A8" s="81"/>
      <c r="B8" s="82"/>
      <c r="C8" s="82"/>
      <c r="D8" s="82"/>
      <c r="E8" s="83"/>
      <c r="F8" s="83"/>
      <c r="G8" s="83"/>
      <c r="H8" s="85"/>
      <c r="I8" s="83"/>
      <c r="J8" s="85"/>
      <c r="K8" s="87">
        <f t="shared" si="0"/>
      </c>
    </row>
    <row r="9" spans="1:11" ht="16.5">
      <c r="A9" s="81"/>
      <c r="B9" s="82"/>
      <c r="C9" s="82"/>
      <c r="D9" s="82"/>
      <c r="E9" s="83"/>
      <c r="F9" s="83"/>
      <c r="G9" s="83"/>
      <c r="H9" s="85"/>
      <c r="I9" s="83"/>
      <c r="J9" s="85"/>
      <c r="K9" s="87">
        <f t="shared" si="0"/>
      </c>
    </row>
    <row r="10" spans="1:11" ht="16.5">
      <c r="A10" s="81"/>
      <c r="B10" s="82"/>
      <c r="C10" s="82"/>
      <c r="D10" s="82"/>
      <c r="E10" s="83"/>
      <c r="F10" s="83"/>
      <c r="G10" s="83"/>
      <c r="H10" s="85"/>
      <c r="I10" s="83"/>
      <c r="J10" s="85"/>
      <c r="K10" s="87">
        <f t="shared" si="0"/>
      </c>
    </row>
    <row r="11" spans="1:11" ht="16.5">
      <c r="A11" s="81"/>
      <c r="B11" s="82"/>
      <c r="C11" s="82"/>
      <c r="D11" s="82"/>
      <c r="E11" s="83"/>
      <c r="F11" s="83"/>
      <c r="G11" s="83"/>
      <c r="H11" s="85"/>
      <c r="I11" s="83"/>
      <c r="J11" s="85"/>
      <c r="K11" s="87">
        <f t="shared" si="0"/>
      </c>
    </row>
    <row r="12" spans="1:11" ht="16.5">
      <c r="A12" s="81"/>
      <c r="B12" s="82"/>
      <c r="C12" s="82"/>
      <c r="D12" s="82"/>
      <c r="E12" s="83"/>
      <c r="F12" s="83"/>
      <c r="G12" s="83"/>
      <c r="H12" s="85"/>
      <c r="I12" s="83"/>
      <c r="J12" s="85"/>
      <c r="K12" s="87">
        <f t="shared" si="0"/>
      </c>
    </row>
    <row r="13" spans="1:11" ht="16.5">
      <c r="A13" s="81"/>
      <c r="B13" s="82"/>
      <c r="C13" s="82"/>
      <c r="D13" s="82"/>
      <c r="E13" s="83"/>
      <c r="F13" s="83"/>
      <c r="G13" s="83"/>
      <c r="H13" s="85"/>
      <c r="I13" s="83"/>
      <c r="J13" s="85"/>
      <c r="K13" s="87">
        <f t="shared" si="0"/>
      </c>
    </row>
    <row r="14" spans="1:11" ht="16.5">
      <c r="A14" s="81"/>
      <c r="B14" s="82"/>
      <c r="C14" s="82"/>
      <c r="D14" s="82"/>
      <c r="E14" s="83"/>
      <c r="F14" s="83"/>
      <c r="G14" s="83"/>
      <c r="H14" s="85"/>
      <c r="I14" s="83"/>
      <c r="J14" s="85"/>
      <c r="K14" s="87">
        <f t="shared" si="0"/>
      </c>
    </row>
    <row r="15" spans="1:11" ht="16.5">
      <c r="A15" s="81"/>
      <c r="B15" s="82"/>
      <c r="C15" s="82"/>
      <c r="D15" s="82"/>
      <c r="E15" s="83"/>
      <c r="F15" s="83"/>
      <c r="G15" s="83"/>
      <c r="H15" s="85"/>
      <c r="I15" s="83"/>
      <c r="J15" s="85"/>
      <c r="K15" s="87">
        <f t="shared" si="0"/>
      </c>
    </row>
    <row r="16" spans="1:11" ht="16.5">
      <c r="A16" s="81"/>
      <c r="B16" s="82"/>
      <c r="C16" s="82"/>
      <c r="D16" s="82"/>
      <c r="E16" s="83"/>
      <c r="F16" s="83"/>
      <c r="G16" s="83"/>
      <c r="H16" s="85"/>
      <c r="I16" s="83"/>
      <c r="J16" s="85"/>
      <c r="K16" s="87">
        <f t="shared" si="0"/>
      </c>
    </row>
    <row r="17" spans="1:11" ht="16.5">
      <c r="A17" s="81"/>
      <c r="B17" s="82"/>
      <c r="C17" s="82"/>
      <c r="D17" s="82"/>
      <c r="E17" s="83"/>
      <c r="F17" s="83"/>
      <c r="G17" s="83"/>
      <c r="H17" s="85"/>
      <c r="I17" s="83"/>
      <c r="J17" s="85"/>
      <c r="K17" s="87">
        <f t="shared" si="0"/>
      </c>
    </row>
    <row r="18" spans="1:11" ht="16.5">
      <c r="A18" s="81"/>
      <c r="B18" s="82"/>
      <c r="C18" s="82"/>
      <c r="D18" s="82"/>
      <c r="E18" s="83"/>
      <c r="F18" s="83"/>
      <c r="G18" s="83"/>
      <c r="H18" s="85"/>
      <c r="I18" s="83"/>
      <c r="J18" s="85"/>
      <c r="K18" s="87"/>
    </row>
    <row r="19" spans="1:11" ht="16.5">
      <c r="A19" s="81"/>
      <c r="B19" s="82"/>
      <c r="C19" s="82"/>
      <c r="D19" s="82"/>
      <c r="E19" s="83"/>
      <c r="F19" s="83"/>
      <c r="G19" s="83"/>
      <c r="H19" s="85"/>
      <c r="I19" s="83"/>
      <c r="J19" s="85"/>
      <c r="K19" s="87">
        <f aca="true" t="shared" si="1" ref="K19:K37">IF(AND(H19&lt;&gt;0,J19&lt;&gt;0,I19&lt;&gt;0),SLN(H19,J19,I19),"")</f>
      </c>
    </row>
    <row r="20" spans="1:11" ht="16.5">
      <c r="A20" s="81"/>
      <c r="B20" s="82"/>
      <c r="C20" s="82"/>
      <c r="D20" s="82"/>
      <c r="E20" s="83"/>
      <c r="F20" s="83"/>
      <c r="G20" s="83"/>
      <c r="H20" s="85"/>
      <c r="I20" s="83"/>
      <c r="J20" s="85"/>
      <c r="K20" s="87">
        <f t="shared" si="1"/>
      </c>
    </row>
    <row r="21" spans="1:11" ht="16.5">
      <c r="A21" s="81"/>
      <c r="B21" s="82"/>
      <c r="C21" s="82"/>
      <c r="D21" s="82"/>
      <c r="E21" s="83"/>
      <c r="F21" s="83"/>
      <c r="G21" s="83"/>
      <c r="H21" s="85"/>
      <c r="I21" s="83"/>
      <c r="J21" s="85"/>
      <c r="K21" s="87">
        <f t="shared" si="1"/>
      </c>
    </row>
    <row r="22" spans="1:11" ht="16.5">
      <c r="A22" s="81"/>
      <c r="B22" s="82"/>
      <c r="C22" s="82"/>
      <c r="D22" s="82"/>
      <c r="E22" s="83"/>
      <c r="F22" s="83"/>
      <c r="G22" s="83"/>
      <c r="H22" s="85"/>
      <c r="I22" s="83"/>
      <c r="J22" s="85"/>
      <c r="K22" s="87">
        <f t="shared" si="1"/>
      </c>
    </row>
    <row r="23" spans="1:11" ht="16.5">
      <c r="A23" s="81"/>
      <c r="B23" s="82"/>
      <c r="C23" s="82"/>
      <c r="D23" s="82"/>
      <c r="E23" s="83"/>
      <c r="F23" s="83"/>
      <c r="G23" s="83"/>
      <c r="H23" s="85"/>
      <c r="I23" s="83"/>
      <c r="J23" s="85"/>
      <c r="K23" s="87">
        <f t="shared" si="1"/>
      </c>
    </row>
    <row r="24" spans="1:11" ht="16.5">
      <c r="A24" s="81"/>
      <c r="B24" s="82"/>
      <c r="C24" s="82"/>
      <c r="D24" s="82"/>
      <c r="E24" s="83"/>
      <c r="F24" s="83"/>
      <c r="G24" s="83"/>
      <c r="H24" s="85"/>
      <c r="I24" s="83"/>
      <c r="J24" s="85"/>
      <c r="K24" s="87">
        <f t="shared" si="1"/>
      </c>
    </row>
    <row r="25" spans="1:11" ht="16.5">
      <c r="A25" s="81"/>
      <c r="B25" s="82"/>
      <c r="C25" s="82"/>
      <c r="D25" s="82"/>
      <c r="E25" s="83"/>
      <c r="F25" s="83"/>
      <c r="G25" s="83"/>
      <c r="H25" s="85"/>
      <c r="I25" s="83"/>
      <c r="J25" s="85"/>
      <c r="K25" s="87">
        <f t="shared" si="1"/>
      </c>
    </row>
    <row r="26" spans="1:11" ht="16.5">
      <c r="A26" s="81"/>
      <c r="B26" s="82"/>
      <c r="C26" s="82"/>
      <c r="D26" s="82"/>
      <c r="E26" s="83"/>
      <c r="F26" s="83"/>
      <c r="G26" s="83"/>
      <c r="H26" s="85"/>
      <c r="I26" s="83"/>
      <c r="J26" s="85"/>
      <c r="K26" s="87">
        <f t="shared" si="1"/>
      </c>
    </row>
    <row r="27" spans="1:11" ht="16.5">
      <c r="A27" s="81"/>
      <c r="B27" s="82"/>
      <c r="C27" s="82"/>
      <c r="D27" s="82"/>
      <c r="E27" s="83"/>
      <c r="F27" s="83"/>
      <c r="G27" s="83"/>
      <c r="H27" s="85"/>
      <c r="I27" s="83"/>
      <c r="J27" s="85"/>
      <c r="K27" s="87">
        <f t="shared" si="1"/>
      </c>
    </row>
    <row r="28" spans="1:11" ht="16.5">
      <c r="A28" s="81"/>
      <c r="B28" s="82"/>
      <c r="C28" s="82"/>
      <c r="D28" s="82"/>
      <c r="E28" s="83"/>
      <c r="F28" s="83"/>
      <c r="G28" s="83"/>
      <c r="H28" s="85"/>
      <c r="I28" s="83"/>
      <c r="J28" s="85"/>
      <c r="K28" s="87">
        <f t="shared" si="1"/>
      </c>
    </row>
    <row r="29" spans="1:11" ht="16.5">
      <c r="A29" s="81"/>
      <c r="B29" s="82"/>
      <c r="C29" s="82"/>
      <c r="D29" s="82"/>
      <c r="E29" s="83"/>
      <c r="F29" s="83"/>
      <c r="G29" s="83"/>
      <c r="H29" s="85"/>
      <c r="I29" s="83"/>
      <c r="J29" s="85"/>
      <c r="K29" s="87">
        <f t="shared" si="1"/>
      </c>
    </row>
    <row r="30" spans="1:11" ht="16.5">
      <c r="A30" s="81"/>
      <c r="B30" s="82"/>
      <c r="C30" s="82"/>
      <c r="D30" s="82"/>
      <c r="E30" s="83"/>
      <c r="F30" s="83"/>
      <c r="G30" s="83"/>
      <c r="H30" s="85"/>
      <c r="I30" s="83"/>
      <c r="J30" s="85"/>
      <c r="K30" s="87">
        <f t="shared" si="1"/>
      </c>
    </row>
    <row r="31" spans="1:11" ht="16.5">
      <c r="A31" s="81"/>
      <c r="B31" s="82"/>
      <c r="C31" s="82"/>
      <c r="D31" s="82"/>
      <c r="E31" s="83"/>
      <c r="F31" s="83"/>
      <c r="G31" s="83"/>
      <c r="H31" s="85"/>
      <c r="I31" s="83"/>
      <c r="J31" s="85"/>
      <c r="K31" s="87">
        <f t="shared" si="1"/>
      </c>
    </row>
    <row r="32" spans="1:11" ht="16.5">
      <c r="A32" s="81"/>
      <c r="B32" s="82"/>
      <c r="C32" s="82"/>
      <c r="D32" s="82"/>
      <c r="E32" s="83"/>
      <c r="F32" s="83"/>
      <c r="G32" s="83"/>
      <c r="H32" s="85"/>
      <c r="I32" s="83"/>
      <c r="J32" s="85"/>
      <c r="K32" s="87">
        <f t="shared" si="1"/>
      </c>
    </row>
    <row r="33" spans="1:11" ht="16.5">
      <c r="A33" s="81"/>
      <c r="B33" s="82"/>
      <c r="C33" s="82"/>
      <c r="D33" s="82"/>
      <c r="E33" s="83"/>
      <c r="F33" s="83"/>
      <c r="G33" s="83"/>
      <c r="H33" s="85"/>
      <c r="I33" s="83"/>
      <c r="J33" s="85"/>
      <c r="K33" s="87">
        <f t="shared" si="1"/>
      </c>
    </row>
    <row r="34" spans="1:11" ht="16.5">
      <c r="A34" s="81"/>
      <c r="B34" s="82"/>
      <c r="C34" s="82"/>
      <c r="D34" s="82"/>
      <c r="E34" s="83"/>
      <c r="F34" s="83"/>
      <c r="G34" s="83"/>
      <c r="H34" s="85"/>
      <c r="I34" s="83"/>
      <c r="J34" s="85"/>
      <c r="K34" s="87">
        <f t="shared" si="1"/>
      </c>
    </row>
    <row r="35" spans="1:11" ht="16.5">
      <c r="A35" s="81"/>
      <c r="B35" s="82"/>
      <c r="C35" s="82"/>
      <c r="D35" s="82"/>
      <c r="E35" s="83"/>
      <c r="F35" s="83"/>
      <c r="G35" s="83"/>
      <c r="H35" s="85"/>
      <c r="I35" s="83"/>
      <c r="J35" s="85"/>
      <c r="K35" s="87">
        <f t="shared" si="1"/>
      </c>
    </row>
    <row r="36" spans="1:11" ht="16.5">
      <c r="A36" s="81"/>
      <c r="B36" s="82"/>
      <c r="C36" s="82"/>
      <c r="D36" s="82"/>
      <c r="E36" s="83"/>
      <c r="F36" s="83"/>
      <c r="G36" s="83"/>
      <c r="H36" s="85"/>
      <c r="I36" s="83"/>
      <c r="J36" s="85"/>
      <c r="K36" s="87">
        <f t="shared" si="1"/>
      </c>
    </row>
    <row r="37" spans="1:11" ht="16.5">
      <c r="A37" s="81"/>
      <c r="B37" s="82"/>
      <c r="C37" s="82"/>
      <c r="D37" s="82"/>
      <c r="E37" s="83"/>
      <c r="F37" s="83"/>
      <c r="G37" s="83"/>
      <c r="H37" s="85"/>
      <c r="I37" s="83"/>
      <c r="J37" s="85"/>
      <c r="K37" s="87">
        <f t="shared" si="1"/>
      </c>
    </row>
  </sheetData>
  <mergeCells count="1">
    <mergeCell ref="A1:K1"/>
  </mergeCells>
  <printOptions horizontalCentered="1"/>
  <pageMargins left="0.75" right="0.75" top="1" bottom="0.7" header="0.5" footer="0.5"/>
  <pageSetup fitToHeight="0" fitToWidth="1"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3" sqref="E3"/>
    </sheetView>
  </sheetViews>
  <sheetFormatPr defaultColWidth="9.00390625" defaultRowHeight="16.5"/>
  <cols>
    <col min="1" max="2" width="9.00390625" style="16" customWidth="1"/>
    <col min="3" max="3" width="6.00390625" style="16" bestFit="1" customWidth="1"/>
    <col min="4" max="4" width="8.25390625" style="16" bestFit="1" customWidth="1"/>
    <col min="5" max="5" width="9.25390625" style="16" customWidth="1"/>
    <col min="6" max="6" width="10.50390625" style="16" bestFit="1" customWidth="1"/>
    <col min="7" max="7" width="9.50390625" style="16" bestFit="1" customWidth="1"/>
    <col min="8" max="8" width="9.00390625" style="16" customWidth="1"/>
    <col min="9" max="9" width="9.50390625" style="16" bestFit="1" customWidth="1"/>
    <col min="10" max="16384" width="9.00390625" style="16" customWidth="1"/>
  </cols>
  <sheetData>
    <row r="1" spans="1:10" ht="19.5">
      <c r="A1" s="14" t="s">
        <v>85</v>
      </c>
      <c r="B1" s="15"/>
      <c r="C1" s="15"/>
      <c r="D1" s="15"/>
      <c r="E1" s="15"/>
      <c r="J1" s="23" t="s">
        <v>94</v>
      </c>
    </row>
    <row r="2" spans="1:11" ht="16.5">
      <c r="A2" s="17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F2" s="19" t="s">
        <v>95</v>
      </c>
      <c r="G2" s="23" t="s">
        <v>96</v>
      </c>
      <c r="H2" s="23" t="s">
        <v>218</v>
      </c>
      <c r="I2" s="23" t="s">
        <v>219</v>
      </c>
      <c r="J2" s="23" t="s">
        <v>97</v>
      </c>
      <c r="K2" s="23"/>
    </row>
    <row r="3" spans="1:10" ht="16.5">
      <c r="A3" s="18" t="s">
        <v>89</v>
      </c>
      <c r="B3" s="19" t="s">
        <v>90</v>
      </c>
      <c r="C3" s="19" t="s">
        <v>13</v>
      </c>
      <c r="D3" s="20">
        <v>33046</v>
      </c>
      <c r="E3" s="16">
        <f aca="true" ca="1" t="shared" si="0" ref="E3:E12">(TODAY()-D3)/365.25</f>
        <v>17.188227241615333</v>
      </c>
      <c r="F3" s="24">
        <f aca="true" ca="1" t="shared" si="1" ref="F3:F12">TODAY()-D3</f>
        <v>6278</v>
      </c>
      <c r="G3" s="24">
        <f ca="1">(TODAY()-E3)/30</f>
        <v>1310.227059091946</v>
      </c>
      <c r="H3" s="16" t="str">
        <f>IF(E3&gt;=10,"己滿","未滿")</f>
        <v>己滿</v>
      </c>
      <c r="I3" s="16">
        <f>IF(H3="己滿",E3*1000,0)</f>
        <v>17188.227241615332</v>
      </c>
      <c r="J3" s="36" t="s">
        <v>98</v>
      </c>
    </row>
    <row r="4" spans="1:9" ht="16.5">
      <c r="A4" s="18" t="s">
        <v>14</v>
      </c>
      <c r="B4" s="19" t="s">
        <v>93</v>
      </c>
      <c r="C4" s="19" t="s">
        <v>15</v>
      </c>
      <c r="D4" s="20">
        <v>33150</v>
      </c>
      <c r="E4" s="16">
        <f ca="1" t="shared" si="0"/>
        <v>16.903490759753595</v>
      </c>
      <c r="F4" s="24">
        <f ca="1" t="shared" si="1"/>
        <v>6174</v>
      </c>
      <c r="H4" s="16" t="str">
        <f aca="true" t="shared" si="2" ref="H4:H12">IF(E4&gt;=10,"己滿","未滿")</f>
        <v>己滿</v>
      </c>
      <c r="I4" s="16">
        <f aca="true" t="shared" si="3" ref="I4:I12">IF(H4="己滿",E4*1000,0)</f>
        <v>16903.490759753593</v>
      </c>
    </row>
    <row r="5" spans="1:9" ht="16.5">
      <c r="A5" s="18" t="s">
        <v>16</v>
      </c>
      <c r="B5" s="19" t="s">
        <v>17</v>
      </c>
      <c r="C5" s="19" t="s">
        <v>15</v>
      </c>
      <c r="D5" s="20">
        <v>33265</v>
      </c>
      <c r="E5" s="16">
        <f ca="1" t="shared" si="0"/>
        <v>16.588637919233403</v>
      </c>
      <c r="F5" s="24">
        <f ca="1" t="shared" si="1"/>
        <v>6059</v>
      </c>
      <c r="H5" s="16" t="str">
        <f t="shared" si="2"/>
        <v>己滿</v>
      </c>
      <c r="I5" s="16">
        <f t="shared" si="3"/>
        <v>16588.637919233402</v>
      </c>
    </row>
    <row r="6" spans="1:9" ht="16.5">
      <c r="A6" s="18" t="s">
        <v>18</v>
      </c>
      <c r="B6" s="19" t="s">
        <v>19</v>
      </c>
      <c r="C6" s="19" t="s">
        <v>13</v>
      </c>
      <c r="D6" s="20">
        <v>33311</v>
      </c>
      <c r="E6" s="16">
        <f ca="1" t="shared" si="0"/>
        <v>16.462696783025326</v>
      </c>
      <c r="F6" s="24">
        <f ca="1" t="shared" si="1"/>
        <v>6013</v>
      </c>
      <c r="H6" s="16" t="str">
        <f t="shared" si="2"/>
        <v>己滿</v>
      </c>
      <c r="I6" s="16">
        <f t="shared" si="3"/>
        <v>16462.696783025327</v>
      </c>
    </row>
    <row r="7" spans="1:9" ht="16.5">
      <c r="A7" s="18" t="s">
        <v>20</v>
      </c>
      <c r="B7" s="19" t="s">
        <v>21</v>
      </c>
      <c r="C7" s="19" t="s">
        <v>15</v>
      </c>
      <c r="D7" s="20">
        <v>34524</v>
      </c>
      <c r="E7" s="16">
        <f ca="1" t="shared" si="0"/>
        <v>13.141683778234086</v>
      </c>
      <c r="F7" s="24">
        <f ca="1" t="shared" si="1"/>
        <v>4800</v>
      </c>
      <c r="H7" s="16" t="str">
        <f t="shared" si="2"/>
        <v>己滿</v>
      </c>
      <c r="I7" s="16">
        <f t="shared" si="3"/>
        <v>13141.683778234086</v>
      </c>
    </row>
    <row r="8" spans="1:9" ht="16.5">
      <c r="A8" s="18" t="s">
        <v>22</v>
      </c>
      <c r="B8" s="19" t="s">
        <v>23</v>
      </c>
      <c r="C8" s="19" t="s">
        <v>15</v>
      </c>
      <c r="D8" s="20">
        <v>34838</v>
      </c>
      <c r="E8" s="16">
        <f ca="1" t="shared" si="0"/>
        <v>12.281998631074606</v>
      </c>
      <c r="F8" s="24">
        <f ca="1" t="shared" si="1"/>
        <v>4486</v>
      </c>
      <c r="H8" s="16" t="str">
        <f t="shared" si="2"/>
        <v>己滿</v>
      </c>
      <c r="I8" s="16">
        <f t="shared" si="3"/>
        <v>12281.998631074606</v>
      </c>
    </row>
    <row r="9" spans="1:9" ht="16.5">
      <c r="A9" s="18" t="s">
        <v>24</v>
      </c>
      <c r="B9" s="19" t="s">
        <v>25</v>
      </c>
      <c r="C9" s="19" t="s">
        <v>15</v>
      </c>
      <c r="D9" s="20">
        <v>36132</v>
      </c>
      <c r="E9" s="16">
        <f ca="1" t="shared" si="0"/>
        <v>8.739219712525667</v>
      </c>
      <c r="F9" s="24">
        <f ca="1" t="shared" si="1"/>
        <v>3192</v>
      </c>
      <c r="H9" s="16" t="str">
        <f t="shared" si="2"/>
        <v>未滿</v>
      </c>
      <c r="I9" s="16">
        <f t="shared" si="3"/>
        <v>0</v>
      </c>
    </row>
    <row r="10" spans="1:9" ht="16.5">
      <c r="A10" s="18" t="s">
        <v>26</v>
      </c>
      <c r="B10" s="19" t="s">
        <v>27</v>
      </c>
      <c r="C10" s="19" t="s">
        <v>13</v>
      </c>
      <c r="D10" s="20">
        <v>36132</v>
      </c>
      <c r="E10" s="16">
        <f ca="1" t="shared" si="0"/>
        <v>8.739219712525667</v>
      </c>
      <c r="F10" s="24">
        <f ca="1" t="shared" si="1"/>
        <v>3192</v>
      </c>
      <c r="H10" s="16" t="str">
        <f t="shared" si="2"/>
        <v>未滿</v>
      </c>
      <c r="I10" s="16">
        <f t="shared" si="3"/>
        <v>0</v>
      </c>
    </row>
    <row r="11" spans="1:9" ht="16.5">
      <c r="A11" s="18" t="s">
        <v>28</v>
      </c>
      <c r="B11" s="19" t="s">
        <v>29</v>
      </c>
      <c r="C11" s="19" t="s">
        <v>15</v>
      </c>
      <c r="D11" s="20">
        <v>37003</v>
      </c>
      <c r="E11" s="16">
        <f ca="1" t="shared" si="0"/>
        <v>6.354551676933607</v>
      </c>
      <c r="F11" s="24">
        <f ca="1" t="shared" si="1"/>
        <v>2321</v>
      </c>
      <c r="H11" s="16" t="str">
        <f t="shared" si="2"/>
        <v>未滿</v>
      </c>
      <c r="I11" s="16">
        <f t="shared" si="3"/>
        <v>0</v>
      </c>
    </row>
    <row r="12" spans="1:9" ht="16.5">
      <c r="A12" s="18" t="s">
        <v>30</v>
      </c>
      <c r="B12" s="19" t="s">
        <v>31</v>
      </c>
      <c r="C12" s="19" t="s">
        <v>13</v>
      </c>
      <c r="D12" s="20">
        <v>37112</v>
      </c>
      <c r="E12" s="16">
        <f ca="1" t="shared" si="0"/>
        <v>6.056125941136208</v>
      </c>
      <c r="F12" s="24">
        <f ca="1" t="shared" si="1"/>
        <v>2212</v>
      </c>
      <c r="H12" s="16" t="str">
        <f t="shared" si="2"/>
        <v>未滿</v>
      </c>
      <c r="I12" s="16">
        <f t="shared" si="3"/>
        <v>0</v>
      </c>
    </row>
    <row r="15" ht="16.5">
      <c r="A15" s="37" t="s">
        <v>32</v>
      </c>
    </row>
    <row r="16" ht="16.5">
      <c r="A16" s="38" t="s">
        <v>33</v>
      </c>
    </row>
    <row r="17" ht="16.5">
      <c r="A17" s="38" t="s">
        <v>34</v>
      </c>
    </row>
    <row r="18" ht="16.5">
      <c r="A18" s="38" t="s">
        <v>35</v>
      </c>
    </row>
    <row r="20" ht="16.5">
      <c r="A20" s="38" t="s">
        <v>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4"/>
  <sheetViews>
    <sheetView workbookViewId="0" topLeftCell="A19">
      <selection activeCell="D47" sqref="D47"/>
    </sheetView>
  </sheetViews>
  <sheetFormatPr defaultColWidth="9.00390625" defaultRowHeight="16.5"/>
  <cols>
    <col min="1" max="1" width="9.50390625" style="26" customWidth="1"/>
    <col min="2" max="2" width="9.50390625" style="26" bestFit="1" customWidth="1"/>
    <col min="3" max="3" width="9.00390625" style="26" customWidth="1"/>
    <col min="4" max="4" width="9.25390625" style="26" customWidth="1"/>
    <col min="5" max="5" width="10.875" style="26" customWidth="1"/>
    <col min="6" max="6" width="10.25390625" style="26" customWidth="1"/>
    <col min="7" max="7" width="9.00390625" style="26" customWidth="1"/>
    <col min="8" max="8" width="9.625" style="26" customWidth="1"/>
    <col min="9" max="16384" width="9.00390625" style="26" customWidth="1"/>
  </cols>
  <sheetData>
    <row r="1" spans="1:11" ht="16.5">
      <c r="A1" s="25" t="s">
        <v>55</v>
      </c>
      <c r="B1" s="25" t="s">
        <v>56</v>
      </c>
      <c r="C1" s="25" t="s">
        <v>57</v>
      </c>
      <c r="D1" s="25" t="s">
        <v>58</v>
      </c>
      <c r="G1" s="27" t="s">
        <v>38</v>
      </c>
      <c r="H1" s="25" t="s">
        <v>55</v>
      </c>
      <c r="I1" s="25" t="s">
        <v>56</v>
      </c>
      <c r="J1" s="25" t="s">
        <v>57</v>
      </c>
      <c r="K1" s="25" t="s">
        <v>58</v>
      </c>
    </row>
    <row r="2" spans="1:11" ht="15.75">
      <c r="A2" s="26">
        <v>2001</v>
      </c>
      <c r="B2" s="26">
        <v>6</v>
      </c>
      <c r="C2" s="26">
        <v>18</v>
      </c>
      <c r="D2" s="28">
        <f>DATE(A2,B2,C2)</f>
        <v>37060</v>
      </c>
      <c r="H2" s="26">
        <v>2001</v>
      </c>
      <c r="I2" s="26">
        <v>6</v>
      </c>
      <c r="J2" s="26">
        <v>18</v>
      </c>
      <c r="K2" s="28"/>
    </row>
    <row r="3" spans="1:10" ht="15.75">
      <c r="A3" s="26">
        <v>2001</v>
      </c>
      <c r="B3" s="26">
        <v>14</v>
      </c>
      <c r="C3" s="26">
        <v>29</v>
      </c>
      <c r="D3" s="28">
        <f>DATE(A3,B3,C3)</f>
        <v>37316</v>
      </c>
      <c r="H3" s="26">
        <v>2001</v>
      </c>
      <c r="I3" s="26">
        <v>14</v>
      </c>
      <c r="J3" s="26">
        <v>29</v>
      </c>
    </row>
    <row r="6" spans="1:9" ht="16.5">
      <c r="A6" s="25" t="s">
        <v>59</v>
      </c>
      <c r="B6" s="28">
        <f ca="1">TODAY()</f>
        <v>39324</v>
      </c>
      <c r="H6" s="25" t="s">
        <v>59</v>
      </c>
      <c r="I6" s="28">
        <f ca="1">TODAY()</f>
        <v>39324</v>
      </c>
    </row>
    <row r="8" spans="1:12" ht="16.5">
      <c r="A8" s="25" t="s">
        <v>9</v>
      </c>
      <c r="B8" s="25" t="s">
        <v>10</v>
      </c>
      <c r="C8" s="25" t="s">
        <v>39</v>
      </c>
      <c r="D8" s="25" t="s">
        <v>60</v>
      </c>
      <c r="E8" s="25" t="s">
        <v>61</v>
      </c>
      <c r="H8" s="25" t="s">
        <v>9</v>
      </c>
      <c r="I8" s="25" t="s">
        <v>10</v>
      </c>
      <c r="J8" s="25" t="s">
        <v>39</v>
      </c>
      <c r="K8" s="25" t="s">
        <v>60</v>
      </c>
      <c r="L8" s="25" t="s">
        <v>61</v>
      </c>
    </row>
    <row r="9" spans="1:10" ht="16.5">
      <c r="A9" s="29" t="s">
        <v>40</v>
      </c>
      <c r="B9" s="29" t="s">
        <v>15</v>
      </c>
      <c r="C9" s="28">
        <v>26370</v>
      </c>
      <c r="D9" s="26">
        <f aca="true" ca="1" t="shared" si="0" ref="D9:D17">YEAR(NOW())-YEAR(C9)</f>
        <v>35</v>
      </c>
      <c r="E9" s="26" t="str">
        <f ca="1">IF(TODAY()&gt;=DATE(YEAR(TODAY()),MONTH(C9),DAY(C9)),"已滿","未滿")</f>
        <v>已滿</v>
      </c>
      <c r="F9" s="105">
        <f>YEAR(2005/12/31)-YEAR(C9)</f>
        <v>-72</v>
      </c>
      <c r="H9" s="29" t="s">
        <v>40</v>
      </c>
      <c r="I9" s="29" t="s">
        <v>15</v>
      </c>
      <c r="J9" s="28">
        <v>26370</v>
      </c>
    </row>
    <row r="10" spans="1:10" ht="16.5">
      <c r="A10" s="29" t="s">
        <v>41</v>
      </c>
      <c r="B10" s="29" t="s">
        <v>15</v>
      </c>
      <c r="C10" s="28">
        <v>24848</v>
      </c>
      <c r="D10" s="26">
        <f ca="1" t="shared" si="0"/>
        <v>39</v>
      </c>
      <c r="E10" s="26" t="str">
        <f aca="true" ca="1" t="shared" si="1" ref="E10:E17">IF(TODAY()&gt;=DATE(YEAR(C10)+D10,MONTH(C10),DAY(C10)),"已滿","未滿")</f>
        <v>已滿</v>
      </c>
      <c r="H10" s="29" t="s">
        <v>41</v>
      </c>
      <c r="I10" s="29" t="s">
        <v>15</v>
      </c>
      <c r="J10" s="28">
        <v>24848</v>
      </c>
    </row>
    <row r="11" spans="1:10" ht="16.5">
      <c r="A11" s="29" t="s">
        <v>42</v>
      </c>
      <c r="B11" s="29" t="s">
        <v>13</v>
      </c>
      <c r="C11" s="28">
        <v>21077</v>
      </c>
      <c r="D11" s="26">
        <f ca="1" t="shared" si="0"/>
        <v>50</v>
      </c>
      <c r="E11" s="26" t="str">
        <f ca="1" t="shared" si="1"/>
        <v>未滿</v>
      </c>
      <c r="H11" s="29" t="s">
        <v>42</v>
      </c>
      <c r="I11" s="29" t="s">
        <v>13</v>
      </c>
      <c r="J11" s="28">
        <v>21077</v>
      </c>
    </row>
    <row r="12" spans="1:10" ht="16.5">
      <c r="A12" s="29" t="s">
        <v>43</v>
      </c>
      <c r="B12" s="29" t="s">
        <v>13</v>
      </c>
      <c r="C12" s="28">
        <v>26533</v>
      </c>
      <c r="D12" s="26">
        <f ca="1" t="shared" si="0"/>
        <v>35</v>
      </c>
      <c r="E12" s="26" t="str">
        <f ca="1" t="shared" si="1"/>
        <v>已滿</v>
      </c>
      <c r="H12" s="29" t="s">
        <v>43</v>
      </c>
      <c r="I12" s="29" t="s">
        <v>13</v>
      </c>
      <c r="J12" s="28">
        <v>26533</v>
      </c>
    </row>
    <row r="13" spans="1:10" ht="16.5">
      <c r="A13" s="29" t="s">
        <v>44</v>
      </c>
      <c r="B13" s="29" t="s">
        <v>13</v>
      </c>
      <c r="C13" s="28">
        <v>24484</v>
      </c>
      <c r="D13" s="26">
        <f ca="1" t="shared" si="0"/>
        <v>40</v>
      </c>
      <c r="E13" s="26" t="str">
        <f ca="1" t="shared" si="1"/>
        <v>已滿</v>
      </c>
      <c r="H13" s="29" t="s">
        <v>44</v>
      </c>
      <c r="I13" s="29" t="s">
        <v>13</v>
      </c>
      <c r="J13" s="28">
        <v>24484</v>
      </c>
    </row>
    <row r="14" spans="1:10" ht="16.5">
      <c r="A14" s="29" t="s">
        <v>45</v>
      </c>
      <c r="B14" s="29" t="s">
        <v>15</v>
      </c>
      <c r="C14" s="28">
        <v>23715</v>
      </c>
      <c r="D14" s="26">
        <f ca="1" t="shared" si="0"/>
        <v>43</v>
      </c>
      <c r="E14" s="26" t="str">
        <f ca="1" t="shared" si="1"/>
        <v>未滿</v>
      </c>
      <c r="H14" s="29" t="s">
        <v>45</v>
      </c>
      <c r="I14" s="29" t="s">
        <v>15</v>
      </c>
      <c r="J14" s="28">
        <v>23715</v>
      </c>
    </row>
    <row r="15" spans="1:10" ht="16.5">
      <c r="A15" s="29" t="s">
        <v>46</v>
      </c>
      <c r="B15" s="29" t="s">
        <v>15</v>
      </c>
      <c r="C15" s="28">
        <v>22986</v>
      </c>
      <c r="D15" s="26">
        <f ca="1" t="shared" si="0"/>
        <v>45</v>
      </c>
      <c r="E15" s="26" t="str">
        <f ca="1" t="shared" si="1"/>
        <v>未滿</v>
      </c>
      <c r="H15" s="29" t="s">
        <v>46</v>
      </c>
      <c r="I15" s="29" t="s">
        <v>15</v>
      </c>
      <c r="J15" s="28">
        <v>22986</v>
      </c>
    </row>
    <row r="16" spans="1:10" ht="16.5">
      <c r="A16" s="29" t="s">
        <v>47</v>
      </c>
      <c r="B16" s="29" t="s">
        <v>13</v>
      </c>
      <c r="C16" s="28">
        <v>26744</v>
      </c>
      <c r="D16" s="26">
        <f ca="1" t="shared" si="0"/>
        <v>34</v>
      </c>
      <c r="E16" s="26" t="str">
        <f ca="1" t="shared" si="1"/>
        <v>已滿</v>
      </c>
      <c r="H16" s="29" t="s">
        <v>47</v>
      </c>
      <c r="I16" s="29" t="s">
        <v>13</v>
      </c>
      <c r="J16" s="28">
        <v>26744</v>
      </c>
    </row>
    <row r="17" spans="1:10" ht="16.5">
      <c r="A17" s="29" t="s">
        <v>48</v>
      </c>
      <c r="B17" s="29" t="s">
        <v>15</v>
      </c>
      <c r="C17" s="28">
        <v>20401</v>
      </c>
      <c r="D17" s="26">
        <f ca="1" t="shared" si="0"/>
        <v>52</v>
      </c>
      <c r="E17" s="26" t="str">
        <f ca="1" t="shared" si="1"/>
        <v>未滿</v>
      </c>
      <c r="H17" s="29" t="s">
        <v>48</v>
      </c>
      <c r="I17" s="29" t="s">
        <v>15</v>
      </c>
      <c r="J17" s="28">
        <v>20401</v>
      </c>
    </row>
    <row r="20" spans="1:9" ht="16.5">
      <c r="A20" s="25" t="s">
        <v>59</v>
      </c>
      <c r="B20" s="28">
        <f ca="1">TODAY()</f>
        <v>39324</v>
      </c>
      <c r="H20" s="25" t="s">
        <v>59</v>
      </c>
      <c r="I20" s="28">
        <f ca="1">TODAY()</f>
        <v>39324</v>
      </c>
    </row>
    <row r="22" spans="1:11" ht="16.5">
      <c r="A22" s="25" t="s">
        <v>9</v>
      </c>
      <c r="B22" s="25" t="s">
        <v>10</v>
      </c>
      <c r="C22" s="25" t="s">
        <v>39</v>
      </c>
      <c r="D22" s="25" t="s">
        <v>62</v>
      </c>
      <c r="E22" s="29"/>
      <c r="H22" s="25" t="s">
        <v>9</v>
      </c>
      <c r="I22" s="25" t="s">
        <v>10</v>
      </c>
      <c r="J22" s="25" t="s">
        <v>39</v>
      </c>
      <c r="K22" s="25" t="s">
        <v>62</v>
      </c>
    </row>
    <row r="23" spans="1:10" ht="16.5">
      <c r="A23" s="29" t="s">
        <v>40</v>
      </c>
      <c r="B23" s="29" t="s">
        <v>15</v>
      </c>
      <c r="C23" s="28">
        <v>26370</v>
      </c>
      <c r="D23" s="26">
        <f aca="true" ca="1" t="shared" si="2" ref="D23:D31">YEAR(NOW())-YEAR(C23)-IF(TODAY()&gt;=DATE(YEAR(TODAY()),MONTH(C23),DAY(C23)),0,1)</f>
        <v>35</v>
      </c>
      <c r="H23" s="29" t="s">
        <v>40</v>
      </c>
      <c r="I23" s="29" t="s">
        <v>15</v>
      </c>
      <c r="J23" s="28">
        <v>26370</v>
      </c>
    </row>
    <row r="24" spans="1:10" ht="16.5">
      <c r="A24" s="29" t="s">
        <v>41</v>
      </c>
      <c r="B24" s="29" t="s">
        <v>15</v>
      </c>
      <c r="C24" s="28">
        <v>24848</v>
      </c>
      <c r="D24" s="26">
        <f ca="1" t="shared" si="2"/>
        <v>39</v>
      </c>
      <c r="H24" s="29" t="s">
        <v>41</v>
      </c>
      <c r="I24" s="29" t="s">
        <v>15</v>
      </c>
      <c r="J24" s="28">
        <v>24848</v>
      </c>
    </row>
    <row r="25" spans="1:10" ht="16.5">
      <c r="A25" s="29" t="s">
        <v>42</v>
      </c>
      <c r="B25" s="29" t="s">
        <v>13</v>
      </c>
      <c r="C25" s="28">
        <v>21077</v>
      </c>
      <c r="D25" s="26">
        <f ca="1" t="shared" si="2"/>
        <v>49</v>
      </c>
      <c r="H25" s="29" t="s">
        <v>42</v>
      </c>
      <c r="I25" s="29" t="s">
        <v>13</v>
      </c>
      <c r="J25" s="28">
        <v>21077</v>
      </c>
    </row>
    <row r="26" spans="1:10" ht="16.5">
      <c r="A26" s="29" t="s">
        <v>43</v>
      </c>
      <c r="B26" s="29" t="s">
        <v>13</v>
      </c>
      <c r="C26" s="28">
        <v>26533</v>
      </c>
      <c r="D26" s="26">
        <f ca="1" t="shared" si="2"/>
        <v>35</v>
      </c>
      <c r="H26" s="29" t="s">
        <v>43</v>
      </c>
      <c r="I26" s="29" t="s">
        <v>13</v>
      </c>
      <c r="J26" s="28">
        <v>26533</v>
      </c>
    </row>
    <row r="27" spans="1:10" ht="16.5">
      <c r="A27" s="29" t="s">
        <v>44</v>
      </c>
      <c r="B27" s="29" t="s">
        <v>13</v>
      </c>
      <c r="C27" s="28">
        <v>24484</v>
      </c>
      <c r="D27" s="26">
        <f ca="1" t="shared" si="2"/>
        <v>40</v>
      </c>
      <c r="H27" s="29" t="s">
        <v>44</v>
      </c>
      <c r="I27" s="29" t="s">
        <v>13</v>
      </c>
      <c r="J27" s="28">
        <v>24484</v>
      </c>
    </row>
    <row r="28" spans="1:10" ht="16.5">
      <c r="A28" s="29" t="s">
        <v>45</v>
      </c>
      <c r="B28" s="29" t="s">
        <v>15</v>
      </c>
      <c r="C28" s="28">
        <v>23715</v>
      </c>
      <c r="D28" s="26">
        <f ca="1" t="shared" si="2"/>
        <v>42</v>
      </c>
      <c r="H28" s="29" t="s">
        <v>45</v>
      </c>
      <c r="I28" s="29" t="s">
        <v>15</v>
      </c>
      <c r="J28" s="28">
        <v>23715</v>
      </c>
    </row>
    <row r="29" spans="1:10" ht="16.5">
      <c r="A29" s="29" t="s">
        <v>46</v>
      </c>
      <c r="B29" s="29" t="s">
        <v>15</v>
      </c>
      <c r="C29" s="28">
        <v>22986</v>
      </c>
      <c r="D29" s="26">
        <f ca="1" t="shared" si="2"/>
        <v>44</v>
      </c>
      <c r="H29" s="29" t="s">
        <v>46</v>
      </c>
      <c r="I29" s="29" t="s">
        <v>15</v>
      </c>
      <c r="J29" s="28">
        <v>22986</v>
      </c>
    </row>
    <row r="30" spans="1:10" ht="16.5">
      <c r="A30" s="29" t="s">
        <v>47</v>
      </c>
      <c r="B30" s="29" t="s">
        <v>13</v>
      </c>
      <c r="C30" s="28">
        <v>26744</v>
      </c>
      <c r="D30" s="26">
        <f ca="1" t="shared" si="2"/>
        <v>34</v>
      </c>
      <c r="H30" s="29" t="s">
        <v>47</v>
      </c>
      <c r="I30" s="29" t="s">
        <v>13</v>
      </c>
      <c r="J30" s="28">
        <v>26744</v>
      </c>
    </row>
    <row r="31" spans="1:10" ht="16.5">
      <c r="A31" s="29" t="s">
        <v>48</v>
      </c>
      <c r="B31" s="29" t="s">
        <v>15</v>
      </c>
      <c r="C31" s="28">
        <v>20401</v>
      </c>
      <c r="D31" s="26">
        <f ca="1" t="shared" si="2"/>
        <v>51</v>
      </c>
      <c r="H31" s="29" t="s">
        <v>48</v>
      </c>
      <c r="I31" s="29" t="s">
        <v>15</v>
      </c>
      <c r="J31" s="28">
        <v>20401</v>
      </c>
    </row>
    <row r="33" spans="1:9" ht="16.5">
      <c r="A33" s="25" t="s">
        <v>59</v>
      </c>
      <c r="B33" s="28">
        <f ca="1">TODAY()</f>
        <v>39324</v>
      </c>
      <c r="H33" s="25" t="s">
        <v>59</v>
      </c>
      <c r="I33" s="28">
        <f ca="1">TODAY()</f>
        <v>39324</v>
      </c>
    </row>
    <row r="35" spans="1:9" ht="16.5">
      <c r="A35" s="25" t="s">
        <v>63</v>
      </c>
      <c r="B35" s="25" t="s">
        <v>64</v>
      </c>
      <c r="H35" s="25" t="s">
        <v>63</v>
      </c>
      <c r="I35" s="25" t="s">
        <v>64</v>
      </c>
    </row>
    <row r="36" spans="1:9" ht="16.5">
      <c r="A36" s="29" t="s">
        <v>49</v>
      </c>
      <c r="B36" s="28">
        <v>25939</v>
      </c>
      <c r="H36" s="29" t="s">
        <v>49</v>
      </c>
      <c r="I36" s="28">
        <v>25939</v>
      </c>
    </row>
    <row r="37" spans="1:9" ht="16.5">
      <c r="A37" s="29" t="s">
        <v>50</v>
      </c>
      <c r="B37" s="28">
        <v>27406</v>
      </c>
      <c r="H37" s="29" t="s">
        <v>50</v>
      </c>
      <c r="I37" s="28">
        <v>27406</v>
      </c>
    </row>
    <row r="38" spans="1:9" ht="16.5" hidden="1">
      <c r="A38" s="29" t="s">
        <v>51</v>
      </c>
      <c r="B38" s="28">
        <v>28590</v>
      </c>
      <c r="H38" s="29" t="s">
        <v>51</v>
      </c>
      <c r="I38" s="28">
        <v>28590</v>
      </c>
    </row>
    <row r="39" spans="1:9" ht="16.5">
      <c r="A39" s="29" t="s">
        <v>52</v>
      </c>
      <c r="B39" s="28">
        <v>25600</v>
      </c>
      <c r="H39" s="29" t="s">
        <v>52</v>
      </c>
      <c r="I39" s="28">
        <v>25600</v>
      </c>
    </row>
    <row r="40" spans="1:9" ht="16.5" hidden="1">
      <c r="A40" s="29" t="s">
        <v>53</v>
      </c>
      <c r="B40" s="28">
        <v>33420</v>
      </c>
      <c r="H40" s="29" t="s">
        <v>53</v>
      </c>
      <c r="I40" s="28">
        <v>33420</v>
      </c>
    </row>
    <row r="41" spans="1:9" ht="16.5" hidden="1">
      <c r="A41" s="29" t="s">
        <v>54</v>
      </c>
      <c r="B41" s="28">
        <v>34186</v>
      </c>
      <c r="H41" s="29" t="s">
        <v>54</v>
      </c>
      <c r="I41" s="28">
        <v>34186</v>
      </c>
    </row>
    <row r="43" spans="1:8" ht="16.5">
      <c r="A43" s="25" t="s">
        <v>65</v>
      </c>
      <c r="H43" s="25" t="s">
        <v>65</v>
      </c>
    </row>
    <row r="44" spans="1:8" ht="15.75">
      <c r="A44" s="26" t="b">
        <f ca="1">B36&lt;=DATE(YEAR(NOW())-25,MONTH(NOW()),DAY(NOW()))</f>
        <v>1</v>
      </c>
      <c r="H44" s="26" t="b">
        <f ca="1">I36&lt;=DATE(YEAR(NOW())-25,MONTH(NOW()),DAY(NOW()))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8" sqref="B8"/>
    </sheetView>
  </sheetViews>
  <sheetFormatPr defaultColWidth="9.00390625" defaultRowHeight="16.5"/>
  <cols>
    <col min="1" max="1" width="9.00390625" style="26" customWidth="1"/>
    <col min="2" max="2" width="9.375" style="26" customWidth="1"/>
    <col min="3" max="3" width="5.875" style="26" customWidth="1"/>
    <col min="4" max="4" width="5.375" style="26" customWidth="1"/>
    <col min="5" max="5" width="5.50390625" style="26" customWidth="1"/>
    <col min="6" max="6" width="9.125" style="26" bestFit="1" customWidth="1"/>
    <col min="7" max="16384" width="9.00390625" style="26" customWidth="1"/>
  </cols>
  <sheetData>
    <row r="1" spans="1:11" ht="16.5">
      <c r="A1" s="30" t="s">
        <v>66</v>
      </c>
      <c r="B1" s="30" t="s">
        <v>67</v>
      </c>
      <c r="I1" s="27" t="s">
        <v>38</v>
      </c>
      <c r="J1" s="30" t="s">
        <v>66</v>
      </c>
      <c r="K1" s="30" t="s">
        <v>67</v>
      </c>
    </row>
    <row r="2" spans="1:11" ht="16.5">
      <c r="A2" s="28">
        <v>37016</v>
      </c>
      <c r="B2" s="31">
        <v>37439</v>
      </c>
      <c r="J2" s="28">
        <v>37016</v>
      </c>
      <c r="K2" s="31">
        <v>37439</v>
      </c>
    </row>
    <row r="4" spans="1:11" ht="16.5">
      <c r="A4" s="32" t="s">
        <v>68</v>
      </c>
      <c r="B4" s="30" t="s">
        <v>69</v>
      </c>
      <c r="J4" s="32" t="s">
        <v>68</v>
      </c>
      <c r="K4" s="30" t="s">
        <v>69</v>
      </c>
    </row>
    <row r="5" spans="1:10" ht="16.5">
      <c r="A5" s="26" t="s">
        <v>70</v>
      </c>
      <c r="B5" s="26">
        <f aca="true" t="shared" si="0" ref="B5:B10">DATEDIF($A$2,$B$2,A5)</f>
        <v>1</v>
      </c>
      <c r="C5" s="26" t="s">
        <v>71</v>
      </c>
      <c r="J5" s="26" t="s">
        <v>70</v>
      </c>
    </row>
    <row r="6" spans="1:10" ht="16.5">
      <c r="A6" s="26" t="s">
        <v>72</v>
      </c>
      <c r="B6" s="26">
        <f t="shared" si="0"/>
        <v>13</v>
      </c>
      <c r="C6" s="26" t="s">
        <v>73</v>
      </c>
      <c r="J6" s="26" t="s">
        <v>72</v>
      </c>
    </row>
    <row r="7" spans="1:10" ht="16.5">
      <c r="A7" s="26" t="s">
        <v>74</v>
      </c>
      <c r="B7" s="26">
        <f t="shared" si="0"/>
        <v>423</v>
      </c>
      <c r="C7" s="26" t="s">
        <v>75</v>
      </c>
      <c r="J7" s="26" t="s">
        <v>74</v>
      </c>
    </row>
    <row r="8" spans="1:10" ht="16.5">
      <c r="A8" s="26" t="s">
        <v>76</v>
      </c>
      <c r="B8" s="26">
        <f t="shared" si="0"/>
        <v>27</v>
      </c>
      <c r="C8" s="26" t="s">
        <v>77</v>
      </c>
      <c r="J8" s="26" t="s">
        <v>76</v>
      </c>
    </row>
    <row r="9" spans="1:10" ht="16.5">
      <c r="A9" s="26" t="s">
        <v>78</v>
      </c>
      <c r="B9" s="26">
        <f t="shared" si="0"/>
        <v>1</v>
      </c>
      <c r="C9" s="26" t="s">
        <v>79</v>
      </c>
      <c r="J9" s="26" t="s">
        <v>78</v>
      </c>
    </row>
    <row r="10" spans="1:10" ht="16.5">
      <c r="A10" s="26" t="s">
        <v>80</v>
      </c>
      <c r="B10" s="26">
        <f t="shared" si="0"/>
        <v>58</v>
      </c>
      <c r="C10" s="26" t="s">
        <v>81</v>
      </c>
      <c r="J10" s="26" t="s">
        <v>80</v>
      </c>
    </row>
    <row r="13" spans="1:11" ht="16.5">
      <c r="A13" s="30" t="s">
        <v>82</v>
      </c>
      <c r="B13" s="28">
        <f ca="1">TODAY()</f>
        <v>39324</v>
      </c>
      <c r="J13" s="25" t="s">
        <v>82</v>
      </c>
      <c r="K13" s="28">
        <f ca="1">TODAY()</f>
        <v>39324</v>
      </c>
    </row>
    <row r="14" spans="3:14" ht="16.5">
      <c r="C14" s="139" t="s">
        <v>83</v>
      </c>
      <c r="D14" s="139"/>
      <c r="E14" s="139"/>
      <c r="L14" s="139" t="s">
        <v>83</v>
      </c>
      <c r="M14" s="139"/>
      <c r="N14" s="139"/>
    </row>
    <row r="15" spans="1:14" ht="16.5">
      <c r="A15" s="29" t="s">
        <v>63</v>
      </c>
      <c r="B15" s="29" t="s">
        <v>64</v>
      </c>
      <c r="C15" s="33" t="s">
        <v>55</v>
      </c>
      <c r="D15" s="33" t="s">
        <v>56</v>
      </c>
      <c r="E15" s="33" t="s">
        <v>57</v>
      </c>
      <c r="J15" s="29" t="s">
        <v>63</v>
      </c>
      <c r="K15" s="29" t="s">
        <v>64</v>
      </c>
      <c r="L15" s="33" t="s">
        <v>55</v>
      </c>
      <c r="M15" s="33" t="s">
        <v>56</v>
      </c>
      <c r="N15" s="33" t="s">
        <v>57</v>
      </c>
    </row>
    <row r="16" spans="1:11" ht="16.5">
      <c r="A16" s="29" t="s">
        <v>49</v>
      </c>
      <c r="B16" s="28">
        <v>36897</v>
      </c>
      <c r="C16" s="26">
        <f aca="true" t="shared" si="1" ref="C16:C21">DATEDIF(B16,$B$13,"Y")</f>
        <v>6</v>
      </c>
      <c r="D16" s="26">
        <f aca="true" t="shared" si="2" ref="D16:D21">DATEDIF(B16,$B$13,"YM")</f>
        <v>7</v>
      </c>
      <c r="E16" s="26">
        <f aca="true" t="shared" si="3" ref="E16:E21">DATEDIF(B16,$B$13,"MD")</f>
        <v>24</v>
      </c>
      <c r="J16" s="29" t="s">
        <v>49</v>
      </c>
      <c r="K16" s="28">
        <v>36897</v>
      </c>
    </row>
    <row r="17" spans="1:11" ht="16.5">
      <c r="A17" s="29" t="s">
        <v>50</v>
      </c>
      <c r="B17" s="28">
        <v>27534</v>
      </c>
      <c r="C17" s="26">
        <f t="shared" si="1"/>
        <v>32</v>
      </c>
      <c r="D17" s="26">
        <f t="shared" si="2"/>
        <v>3</v>
      </c>
      <c r="E17" s="26">
        <f t="shared" si="3"/>
        <v>10</v>
      </c>
      <c r="J17" s="29" t="s">
        <v>50</v>
      </c>
      <c r="K17" s="28">
        <v>27534</v>
      </c>
    </row>
    <row r="18" spans="1:11" ht="16.5">
      <c r="A18" s="29" t="s">
        <v>51</v>
      </c>
      <c r="B18" s="28">
        <v>28590</v>
      </c>
      <c r="C18" s="26">
        <f t="shared" si="1"/>
        <v>29</v>
      </c>
      <c r="D18" s="26">
        <f t="shared" si="2"/>
        <v>4</v>
      </c>
      <c r="E18" s="26">
        <f t="shared" si="3"/>
        <v>20</v>
      </c>
      <c r="J18" s="29" t="s">
        <v>51</v>
      </c>
      <c r="K18" s="28">
        <v>28590</v>
      </c>
    </row>
    <row r="19" spans="1:11" ht="16.5">
      <c r="A19" s="29" t="s">
        <v>52</v>
      </c>
      <c r="B19" s="28">
        <v>35034</v>
      </c>
      <c r="C19" s="26">
        <f t="shared" si="1"/>
        <v>11</v>
      </c>
      <c r="D19" s="26">
        <f t="shared" si="2"/>
        <v>8</v>
      </c>
      <c r="E19" s="26">
        <f t="shared" si="3"/>
        <v>29</v>
      </c>
      <c r="J19" s="29" t="s">
        <v>52</v>
      </c>
      <c r="K19" s="28">
        <v>35034</v>
      </c>
    </row>
    <row r="20" spans="1:11" ht="16.5">
      <c r="A20" s="29" t="s">
        <v>84</v>
      </c>
      <c r="B20" s="28">
        <v>33420</v>
      </c>
      <c r="C20" s="26">
        <f t="shared" si="1"/>
        <v>16</v>
      </c>
      <c r="D20" s="26">
        <f t="shared" si="2"/>
        <v>1</v>
      </c>
      <c r="E20" s="26">
        <f t="shared" si="3"/>
        <v>29</v>
      </c>
      <c r="J20" s="29" t="s">
        <v>84</v>
      </c>
      <c r="K20" s="28">
        <v>33420</v>
      </c>
    </row>
    <row r="21" spans="1:11" ht="16.5">
      <c r="A21" s="29" t="s">
        <v>54</v>
      </c>
      <c r="B21" s="28">
        <v>34186</v>
      </c>
      <c r="C21" s="26">
        <f t="shared" si="1"/>
        <v>14</v>
      </c>
      <c r="D21" s="26">
        <f t="shared" si="2"/>
        <v>0</v>
      </c>
      <c r="E21" s="26">
        <f t="shared" si="3"/>
        <v>25</v>
      </c>
      <c r="J21" s="29" t="s">
        <v>54</v>
      </c>
      <c r="K21" s="28">
        <v>34186</v>
      </c>
    </row>
    <row r="23" spans="1:2" ht="16.5">
      <c r="A23" s="29" t="s">
        <v>217</v>
      </c>
      <c r="B23" s="106" t="s">
        <v>216</v>
      </c>
    </row>
  </sheetData>
  <mergeCells count="2">
    <mergeCell ref="C14:E14"/>
    <mergeCell ref="L14:N1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3" sqref="F3"/>
    </sheetView>
  </sheetViews>
  <sheetFormatPr defaultColWidth="9.00390625" defaultRowHeight="16.5"/>
  <cols>
    <col min="1" max="2" width="9.00390625" style="16" customWidth="1"/>
    <col min="3" max="3" width="6.00390625" style="16" bestFit="1" customWidth="1"/>
    <col min="4" max="4" width="8.25390625" style="16" bestFit="1" customWidth="1"/>
    <col min="5" max="5" width="8.00390625" style="16" customWidth="1"/>
    <col min="6" max="6" width="10.50390625" style="16" bestFit="1" customWidth="1"/>
    <col min="7" max="7" width="10.50390625" style="16" customWidth="1"/>
    <col min="8" max="16384" width="9.00390625" style="16" customWidth="1"/>
  </cols>
  <sheetData>
    <row r="1" spans="1:9" ht="19.5">
      <c r="A1" s="14" t="s">
        <v>85</v>
      </c>
      <c r="B1" s="15"/>
      <c r="C1" s="15"/>
      <c r="D1" s="15"/>
      <c r="E1" s="15"/>
      <c r="F1" s="24">
        <v>38717</v>
      </c>
      <c r="G1" s="23" t="s">
        <v>86</v>
      </c>
      <c r="H1" s="23" t="s">
        <v>87</v>
      </c>
      <c r="I1" s="23" t="s">
        <v>88</v>
      </c>
    </row>
    <row r="2" spans="1:9" ht="16.5">
      <c r="A2" s="17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F2" s="17" t="s">
        <v>12</v>
      </c>
      <c r="G2" s="16">
        <f>YEAR(F1)</f>
        <v>2005</v>
      </c>
      <c r="H2" s="16">
        <f>MONTH(F1)</f>
        <v>12</v>
      </c>
      <c r="I2" s="23">
        <f>DAY(F1)</f>
        <v>31</v>
      </c>
    </row>
    <row r="3" spans="1:9" ht="16.5">
      <c r="A3" s="18" t="s">
        <v>89</v>
      </c>
      <c r="B3" s="19" t="s">
        <v>90</v>
      </c>
      <c r="C3" s="19" t="s">
        <v>13</v>
      </c>
      <c r="D3" s="20">
        <v>33046</v>
      </c>
      <c r="E3" s="21">
        <f aca="true" ca="1" t="shared" si="0" ref="E3:E12">YEAR(TODAY())-YEAR(D3)</f>
        <v>17</v>
      </c>
      <c r="F3" s="24">
        <f>YEAR(F1)-YEAR(D3)</f>
        <v>15</v>
      </c>
      <c r="G3" s="34" t="s">
        <v>91</v>
      </c>
      <c r="I3" s="35" t="s">
        <v>92</v>
      </c>
    </row>
    <row r="4" spans="1:9" ht="16.5">
      <c r="A4" s="18" t="s">
        <v>14</v>
      </c>
      <c r="B4" s="19" t="s">
        <v>93</v>
      </c>
      <c r="C4" s="19" t="s">
        <v>15</v>
      </c>
      <c r="D4" s="20">
        <v>33150</v>
      </c>
      <c r="E4" s="21">
        <f ca="1" t="shared" si="0"/>
        <v>17</v>
      </c>
      <c r="I4" s="23"/>
    </row>
    <row r="5" spans="1:5" ht="16.5">
      <c r="A5" s="18" t="s">
        <v>16</v>
      </c>
      <c r="B5" s="19" t="s">
        <v>17</v>
      </c>
      <c r="C5" s="19" t="s">
        <v>15</v>
      </c>
      <c r="D5" s="20">
        <v>33265</v>
      </c>
      <c r="E5" s="21">
        <f ca="1" t="shared" si="0"/>
        <v>16</v>
      </c>
    </row>
    <row r="6" spans="1:5" ht="16.5">
      <c r="A6" s="18" t="s">
        <v>18</v>
      </c>
      <c r="B6" s="19" t="s">
        <v>19</v>
      </c>
      <c r="C6" s="19" t="s">
        <v>13</v>
      </c>
      <c r="D6" s="20">
        <v>33311</v>
      </c>
      <c r="E6" s="21">
        <f ca="1" t="shared" si="0"/>
        <v>16</v>
      </c>
    </row>
    <row r="7" spans="1:5" ht="16.5">
      <c r="A7" s="18" t="s">
        <v>20</v>
      </c>
      <c r="B7" s="19" t="s">
        <v>21</v>
      </c>
      <c r="C7" s="19" t="s">
        <v>15</v>
      </c>
      <c r="D7" s="20">
        <v>34524</v>
      </c>
      <c r="E7" s="21">
        <f ca="1" t="shared" si="0"/>
        <v>13</v>
      </c>
    </row>
    <row r="8" spans="1:5" ht="16.5">
      <c r="A8" s="18" t="s">
        <v>22</v>
      </c>
      <c r="B8" s="19" t="s">
        <v>23</v>
      </c>
      <c r="C8" s="19" t="s">
        <v>15</v>
      </c>
      <c r="D8" s="20">
        <v>34838</v>
      </c>
      <c r="E8" s="21">
        <f ca="1" t="shared" si="0"/>
        <v>12</v>
      </c>
    </row>
    <row r="9" spans="1:5" ht="16.5">
      <c r="A9" s="18" t="s">
        <v>24</v>
      </c>
      <c r="B9" s="19" t="s">
        <v>25</v>
      </c>
      <c r="C9" s="19" t="s">
        <v>15</v>
      </c>
      <c r="D9" s="20">
        <v>36132</v>
      </c>
      <c r="E9" s="21">
        <f ca="1" t="shared" si="0"/>
        <v>9</v>
      </c>
    </row>
    <row r="10" spans="1:5" ht="16.5">
      <c r="A10" s="18" t="s">
        <v>26</v>
      </c>
      <c r="B10" s="19" t="s">
        <v>27</v>
      </c>
      <c r="C10" s="19" t="s">
        <v>13</v>
      </c>
      <c r="D10" s="20">
        <v>36132</v>
      </c>
      <c r="E10" s="21">
        <f ca="1" t="shared" si="0"/>
        <v>9</v>
      </c>
    </row>
    <row r="11" spans="1:5" ht="16.5">
      <c r="A11" s="18" t="s">
        <v>28</v>
      </c>
      <c r="B11" s="19" t="s">
        <v>29</v>
      </c>
      <c r="C11" s="19" t="s">
        <v>15</v>
      </c>
      <c r="D11" s="20">
        <v>37003</v>
      </c>
      <c r="E11" s="21">
        <f ca="1" t="shared" si="0"/>
        <v>6</v>
      </c>
    </row>
    <row r="12" spans="1:5" ht="16.5">
      <c r="A12" s="18" t="s">
        <v>30</v>
      </c>
      <c r="B12" s="19" t="s">
        <v>31</v>
      </c>
      <c r="C12" s="19" t="s">
        <v>13</v>
      </c>
      <c r="D12" s="20">
        <v>37112</v>
      </c>
      <c r="E12" s="21">
        <f ca="1" t="shared" si="0"/>
        <v>6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K33"/>
  <sheetViews>
    <sheetView workbookViewId="0" topLeftCell="A7">
      <selection activeCell="K6" sqref="K6"/>
    </sheetView>
  </sheetViews>
  <sheetFormatPr defaultColWidth="9.00390625" defaultRowHeight="16.5"/>
  <cols>
    <col min="1" max="2" width="9.00390625" style="16" customWidth="1"/>
    <col min="3" max="3" width="9.50390625" style="16" bestFit="1" customWidth="1"/>
    <col min="4" max="4" width="9.375" style="16" customWidth="1"/>
    <col min="5" max="5" width="12.375" style="16" customWidth="1"/>
    <col min="6" max="16384" width="9.00390625" style="16" customWidth="1"/>
  </cols>
  <sheetData>
    <row r="1" spans="1:11" ht="19.5">
      <c r="A1" s="14" t="s">
        <v>85</v>
      </c>
      <c r="B1" s="15"/>
      <c r="C1" s="15"/>
      <c r="D1" s="15"/>
      <c r="E1" s="133" t="s">
        <v>246</v>
      </c>
      <c r="F1" s="23" t="s">
        <v>99</v>
      </c>
      <c r="G1" s="23" t="s">
        <v>100</v>
      </c>
      <c r="H1" s="23" t="s">
        <v>101</v>
      </c>
      <c r="I1" s="23" t="s">
        <v>102</v>
      </c>
      <c r="J1" s="23" t="s">
        <v>103</v>
      </c>
      <c r="K1" s="23" t="s">
        <v>104</v>
      </c>
    </row>
    <row r="2" spans="1:11" ht="16.5">
      <c r="A2" s="17" t="s">
        <v>8</v>
      </c>
      <c r="B2" s="17" t="s">
        <v>9</v>
      </c>
      <c r="C2" s="17" t="s">
        <v>10</v>
      </c>
      <c r="D2" s="17" t="s">
        <v>11</v>
      </c>
      <c r="E2" s="17" t="s">
        <v>12</v>
      </c>
      <c r="F2" s="129" t="s">
        <v>105</v>
      </c>
      <c r="G2" s="23" t="s">
        <v>106</v>
      </c>
      <c r="H2" s="23" t="s">
        <v>107</v>
      </c>
      <c r="I2" s="129" t="s">
        <v>108</v>
      </c>
      <c r="J2" s="39" t="s">
        <v>109</v>
      </c>
      <c r="K2" s="129" t="s">
        <v>109</v>
      </c>
    </row>
    <row r="3" spans="1:11" ht="16.5">
      <c r="A3" s="18" t="s">
        <v>89</v>
      </c>
      <c r="B3" s="19" t="s">
        <v>90</v>
      </c>
      <c r="C3" s="19" t="s">
        <v>13</v>
      </c>
      <c r="D3" s="20">
        <v>33046</v>
      </c>
      <c r="E3" s="40">
        <f ca="1">(TODAY()-D3)/365.25</f>
        <v>17.188227241615333</v>
      </c>
      <c r="F3" s="16">
        <f ca="1">DATEDIF($D3,TODAY(),"y")</f>
        <v>17</v>
      </c>
      <c r="G3" s="16">
        <f aca="true" ca="1" t="shared" si="0" ref="G3:G12">DATEDIF($D3,TODAY(),"m")</f>
        <v>206</v>
      </c>
      <c r="H3" s="16">
        <f aca="true" ca="1" t="shared" si="1" ref="H3:H12">DATEDIF($D3,TODAY(),"d")</f>
        <v>6278</v>
      </c>
      <c r="I3" s="16">
        <f ca="1">DATEDIF($D3,TODAY(),"ym")</f>
        <v>2</v>
      </c>
      <c r="J3" s="16">
        <f ca="1">DATEDIF($D3,TODAY(),"yd")</f>
        <v>69</v>
      </c>
      <c r="K3" s="16">
        <f ca="1">DATEDIF($D3,TODAY(),"md")</f>
        <v>8</v>
      </c>
    </row>
    <row r="4" spans="1:9" ht="16.5">
      <c r="A4" s="18" t="s">
        <v>14</v>
      </c>
      <c r="B4" s="19" t="s">
        <v>93</v>
      </c>
      <c r="C4" s="19" t="s">
        <v>15</v>
      </c>
      <c r="D4" s="20">
        <v>33150</v>
      </c>
      <c r="E4" s="40">
        <f aca="true" ca="1" t="shared" si="2" ref="E4:E12">(TODAY()-D4)/365.25</f>
        <v>16.903490759753595</v>
      </c>
      <c r="F4" s="16">
        <f aca="true" ca="1" t="shared" si="3" ref="F4:F12">DATEDIF(D4,TODAY(),"y")</f>
        <v>16</v>
      </c>
      <c r="G4" s="16">
        <f ca="1" t="shared" si="0"/>
        <v>202</v>
      </c>
      <c r="H4" s="16">
        <f ca="1" t="shared" si="1"/>
        <v>6174</v>
      </c>
      <c r="I4" s="16">
        <f aca="true" ca="1" t="shared" si="4" ref="I4:I12">DATEDIF($D4,TODAY(),"ym")</f>
        <v>10</v>
      </c>
    </row>
    <row r="5" spans="1:9" ht="16.5">
      <c r="A5" s="18" t="s">
        <v>16</v>
      </c>
      <c r="B5" s="19" t="s">
        <v>17</v>
      </c>
      <c r="C5" s="19" t="s">
        <v>15</v>
      </c>
      <c r="D5" s="20">
        <v>33265</v>
      </c>
      <c r="E5" s="16">
        <f ca="1" t="shared" si="2"/>
        <v>16.588637919233403</v>
      </c>
      <c r="F5" s="16">
        <f ca="1" t="shared" si="3"/>
        <v>16</v>
      </c>
      <c r="G5" s="16">
        <f ca="1" t="shared" si="0"/>
        <v>199</v>
      </c>
      <c r="H5" s="16">
        <f ca="1" t="shared" si="1"/>
        <v>6059</v>
      </c>
      <c r="I5" s="16">
        <f ca="1" t="shared" si="4"/>
        <v>7</v>
      </c>
    </row>
    <row r="6" spans="1:9" ht="16.5">
      <c r="A6" s="18" t="s">
        <v>18</v>
      </c>
      <c r="B6" s="19" t="s">
        <v>19</v>
      </c>
      <c r="C6" s="19" t="s">
        <v>13</v>
      </c>
      <c r="D6" s="20">
        <v>33311</v>
      </c>
      <c r="E6" s="16">
        <f ca="1" t="shared" si="2"/>
        <v>16.462696783025326</v>
      </c>
      <c r="F6" s="16">
        <f ca="1" t="shared" si="3"/>
        <v>16</v>
      </c>
      <c r="G6" s="16">
        <f ca="1" t="shared" si="0"/>
        <v>197</v>
      </c>
      <c r="H6" s="16">
        <f ca="1" t="shared" si="1"/>
        <v>6013</v>
      </c>
      <c r="I6" s="16">
        <f ca="1" t="shared" si="4"/>
        <v>5</v>
      </c>
    </row>
    <row r="7" spans="1:9" ht="16.5">
      <c r="A7" s="18" t="s">
        <v>20</v>
      </c>
      <c r="B7" s="19" t="s">
        <v>21</v>
      </c>
      <c r="C7" s="19" t="s">
        <v>15</v>
      </c>
      <c r="D7" s="20">
        <v>34524</v>
      </c>
      <c r="E7" s="16">
        <f ca="1" t="shared" si="2"/>
        <v>13.141683778234086</v>
      </c>
      <c r="F7" s="16">
        <f ca="1" t="shared" si="3"/>
        <v>13</v>
      </c>
      <c r="G7" s="16">
        <f ca="1" t="shared" si="0"/>
        <v>157</v>
      </c>
      <c r="H7" s="16">
        <f ca="1" t="shared" si="1"/>
        <v>4800</v>
      </c>
      <c r="I7" s="16">
        <f ca="1" t="shared" si="4"/>
        <v>1</v>
      </c>
    </row>
    <row r="8" spans="1:9" ht="16.5">
      <c r="A8" s="18" t="s">
        <v>22</v>
      </c>
      <c r="B8" s="19" t="s">
        <v>23</v>
      </c>
      <c r="C8" s="19" t="s">
        <v>15</v>
      </c>
      <c r="D8" s="20">
        <v>34838</v>
      </c>
      <c r="E8" s="16">
        <f ca="1" t="shared" si="2"/>
        <v>12.281998631074606</v>
      </c>
      <c r="F8" s="16">
        <f ca="1" t="shared" si="3"/>
        <v>12</v>
      </c>
      <c r="G8" s="16">
        <f ca="1" t="shared" si="0"/>
        <v>147</v>
      </c>
      <c r="H8" s="16">
        <f ca="1" t="shared" si="1"/>
        <v>4486</v>
      </c>
      <c r="I8" s="16">
        <f ca="1" t="shared" si="4"/>
        <v>3</v>
      </c>
    </row>
    <row r="9" spans="1:9" ht="16.5">
      <c r="A9" s="18" t="s">
        <v>24</v>
      </c>
      <c r="B9" s="19" t="s">
        <v>25</v>
      </c>
      <c r="C9" s="19" t="s">
        <v>15</v>
      </c>
      <c r="D9" s="20">
        <v>36132</v>
      </c>
      <c r="E9" s="16">
        <f ca="1" t="shared" si="2"/>
        <v>8.739219712525667</v>
      </c>
      <c r="F9" s="16">
        <f ca="1" t="shared" si="3"/>
        <v>8</v>
      </c>
      <c r="G9" s="16">
        <f ca="1" t="shared" si="0"/>
        <v>104</v>
      </c>
      <c r="H9" s="16">
        <f ca="1" t="shared" si="1"/>
        <v>3192</v>
      </c>
      <c r="I9" s="16">
        <f ca="1" t="shared" si="4"/>
        <v>8</v>
      </c>
    </row>
    <row r="10" spans="1:9" ht="16.5">
      <c r="A10" s="18" t="s">
        <v>26</v>
      </c>
      <c r="B10" s="19" t="s">
        <v>27</v>
      </c>
      <c r="C10" s="19" t="s">
        <v>13</v>
      </c>
      <c r="D10" s="20">
        <v>36132</v>
      </c>
      <c r="E10" s="16">
        <f ca="1" t="shared" si="2"/>
        <v>8.739219712525667</v>
      </c>
      <c r="F10" s="16">
        <f ca="1" t="shared" si="3"/>
        <v>8</v>
      </c>
      <c r="G10" s="16">
        <f ca="1" t="shared" si="0"/>
        <v>104</v>
      </c>
      <c r="H10" s="16">
        <f ca="1" t="shared" si="1"/>
        <v>3192</v>
      </c>
      <c r="I10" s="16">
        <f ca="1" t="shared" si="4"/>
        <v>8</v>
      </c>
    </row>
    <row r="11" spans="1:9" ht="16.5">
      <c r="A11" s="18" t="s">
        <v>28</v>
      </c>
      <c r="B11" s="19" t="s">
        <v>29</v>
      </c>
      <c r="C11" s="19" t="s">
        <v>15</v>
      </c>
      <c r="D11" s="20">
        <v>37003</v>
      </c>
      <c r="E11" s="16">
        <f ca="1" t="shared" si="2"/>
        <v>6.354551676933607</v>
      </c>
      <c r="F11" s="16">
        <f ca="1" t="shared" si="3"/>
        <v>6</v>
      </c>
      <c r="G11" s="16">
        <f ca="1" t="shared" si="0"/>
        <v>76</v>
      </c>
      <c r="H11" s="16">
        <f ca="1" t="shared" si="1"/>
        <v>2321</v>
      </c>
      <c r="I11" s="16">
        <f ca="1" t="shared" si="4"/>
        <v>4</v>
      </c>
    </row>
    <row r="12" spans="1:9" ht="16.5">
      <c r="A12" s="18" t="s">
        <v>30</v>
      </c>
      <c r="B12" s="19" t="s">
        <v>31</v>
      </c>
      <c r="C12" s="19" t="s">
        <v>13</v>
      </c>
      <c r="D12" s="20">
        <v>37112</v>
      </c>
      <c r="E12" s="16">
        <f ca="1" t="shared" si="2"/>
        <v>6.056125941136208</v>
      </c>
      <c r="F12" s="16">
        <f ca="1" t="shared" si="3"/>
        <v>6</v>
      </c>
      <c r="G12" s="16">
        <f ca="1" t="shared" si="0"/>
        <v>72</v>
      </c>
      <c r="H12" s="16">
        <f ca="1" t="shared" si="1"/>
        <v>2212</v>
      </c>
      <c r="I12" s="16">
        <f ca="1" t="shared" si="4"/>
        <v>0</v>
      </c>
    </row>
    <row r="14" s="41" customFormat="1" ht="16.5">
      <c r="A14" s="38" t="s">
        <v>36</v>
      </c>
    </row>
    <row r="15" s="41" customFormat="1" ht="16.5"/>
    <row r="16" s="41" customFormat="1" ht="16.5"/>
    <row r="17" s="41" customFormat="1" ht="16.5"/>
    <row r="18" s="41" customFormat="1" ht="16.5"/>
    <row r="28" s="41" customFormat="1" ht="16.5"/>
    <row r="29" s="41" customFormat="1" ht="16.5"/>
    <row r="30" spans="2:5" s="41" customFormat="1" ht="16.5">
      <c r="B30" s="132">
        <v>32874</v>
      </c>
      <c r="C30" s="131">
        <f ca="1">TODAY()</f>
        <v>39324</v>
      </c>
      <c r="D30" s="41">
        <f>DATEDIF(B30,C30,"y")</f>
        <v>17</v>
      </c>
      <c r="E30" s="131">
        <f>C30-B30</f>
        <v>6450</v>
      </c>
    </row>
    <row r="31" spans="2:5" s="41" customFormat="1" ht="16.5">
      <c r="B31" s="130" t="s">
        <v>245</v>
      </c>
      <c r="C31" s="131">
        <f ca="1">TODAY()</f>
        <v>39324</v>
      </c>
      <c r="D31" s="41" t="e">
        <f>DATEDIF(B31,C31,"y")</f>
        <v>#VALUE!</v>
      </c>
      <c r="E31" s="131" t="e">
        <f>C31-B31</f>
        <v>#VALUE!</v>
      </c>
    </row>
    <row r="32" spans="2:5" ht="16.5">
      <c r="B32" s="130"/>
      <c r="C32" s="131"/>
      <c r="D32" s="41"/>
      <c r="E32" s="131"/>
    </row>
    <row r="33" spans="2:5" ht="16.5">
      <c r="B33" s="130"/>
      <c r="C33" s="131"/>
      <c r="D33" s="41"/>
      <c r="E33" s="131"/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4" sqref="B4"/>
    </sheetView>
  </sheetViews>
  <sheetFormatPr defaultColWidth="9.00390625" defaultRowHeight="16.5"/>
  <cols>
    <col min="1" max="1" width="34.00390625" style="57" customWidth="1"/>
    <col min="2" max="2" width="13.75390625" style="0" customWidth="1"/>
    <col min="5" max="5" width="27.00390625" style="0" customWidth="1"/>
    <col min="6" max="6" width="22.50390625" style="0" customWidth="1"/>
    <col min="7" max="7" width="9.625" style="0" bestFit="1" customWidth="1"/>
  </cols>
  <sheetData>
    <row r="1" spans="1:6" ht="25.5">
      <c r="A1" s="134" t="s">
        <v>110</v>
      </c>
      <c r="B1" s="134"/>
      <c r="E1" s="134" t="s">
        <v>110</v>
      </c>
      <c r="F1" s="134"/>
    </row>
    <row r="2" spans="1:6" ht="16.5">
      <c r="A2" s="61" t="s">
        <v>157</v>
      </c>
      <c r="B2" s="100">
        <v>0.025</v>
      </c>
      <c r="E2" s="61" t="s">
        <v>157</v>
      </c>
      <c r="F2" s="100">
        <v>0.05</v>
      </c>
    </row>
    <row r="3" spans="1:6" ht="16.5">
      <c r="A3" s="61" t="s">
        <v>114</v>
      </c>
      <c r="B3" s="62">
        <v>10</v>
      </c>
      <c r="E3" s="61" t="s">
        <v>215</v>
      </c>
      <c r="F3" s="62">
        <v>6</v>
      </c>
    </row>
    <row r="4" spans="1:6" ht="16.5">
      <c r="A4" t="s">
        <v>154</v>
      </c>
      <c r="B4" s="125">
        <v>13500</v>
      </c>
      <c r="E4" s="99" t="s">
        <v>214</v>
      </c>
      <c r="F4" s="62">
        <v>75000</v>
      </c>
    </row>
    <row r="5" spans="1:7" ht="16.5">
      <c r="A5" s="63" t="s">
        <v>220</v>
      </c>
      <c r="B5" s="116">
        <f>PV(B2,B3,B4)</f>
        <v>-118152.86306810738</v>
      </c>
      <c r="C5" s="65" t="s">
        <v>156</v>
      </c>
      <c r="E5" s="99" t="s">
        <v>213</v>
      </c>
      <c r="F5" s="64">
        <f>FV(F2,F3,F4,,1)</f>
        <v>-535650.6339843749</v>
      </c>
      <c r="G5" s="65" t="s">
        <v>221</v>
      </c>
    </row>
    <row r="6" spans="1:7" ht="16.5">
      <c r="A6" s="66" t="s">
        <v>160</v>
      </c>
      <c r="B6" s="67">
        <v>120000</v>
      </c>
      <c r="C6" s="65"/>
      <c r="E6" s="63" t="s">
        <v>155</v>
      </c>
      <c r="F6" s="64">
        <f>PV(F2,F3,F4,,1)</f>
        <v>-399710.7502973114</v>
      </c>
      <c r="G6" s="108" t="s">
        <v>222</v>
      </c>
    </row>
    <row r="7" spans="1:6" ht="16.5">
      <c r="A7" s="68"/>
      <c r="B7" s="69"/>
      <c r="C7" s="65"/>
      <c r="E7" s="66" t="s">
        <v>160</v>
      </c>
      <c r="F7" s="67">
        <f>F4*F3</f>
        <v>450000</v>
      </c>
    </row>
    <row r="8" spans="1:6" ht="16.5">
      <c r="A8" s="58"/>
      <c r="B8" s="56"/>
      <c r="E8" s="68"/>
      <c r="F8" s="69"/>
    </row>
    <row r="9" spans="1:6" ht="16.5">
      <c r="A9" s="58"/>
      <c r="B9" s="56"/>
      <c r="E9" s="107"/>
      <c r="F9" s="73"/>
    </row>
    <row r="10" spans="1:6" ht="16.5">
      <c r="A10" s="115" t="s">
        <v>233</v>
      </c>
      <c r="B10" s="56"/>
      <c r="E10" s="107"/>
      <c r="F10" s="73"/>
    </row>
    <row r="11" ht="16.5">
      <c r="A11" s="59" t="s">
        <v>152</v>
      </c>
    </row>
    <row r="13" ht="16.5">
      <c r="A13" s="59" t="s">
        <v>158</v>
      </c>
    </row>
    <row r="14" ht="16.5">
      <c r="A14" t="s">
        <v>159</v>
      </c>
    </row>
    <row r="15" ht="16.5">
      <c r="A15" s="59"/>
    </row>
    <row r="16" ht="16.5">
      <c r="A16" s="59"/>
    </row>
    <row r="17" ht="16.5">
      <c r="A17" s="59"/>
    </row>
    <row r="18" ht="16.5">
      <c r="A18" s="59"/>
    </row>
    <row r="19" ht="16.5">
      <c r="A19" s="60" t="s">
        <v>123</v>
      </c>
    </row>
    <row r="20" ht="16.5">
      <c r="A20" s="60" t="s">
        <v>124</v>
      </c>
    </row>
    <row r="21" ht="16.5">
      <c r="A21" s="60" t="s">
        <v>153</v>
      </c>
    </row>
    <row r="22" ht="16.5">
      <c r="A22" s="60" t="s">
        <v>126</v>
      </c>
    </row>
    <row r="23" ht="16.5">
      <c r="A23" s="60" t="s">
        <v>127</v>
      </c>
    </row>
  </sheetData>
  <sheetProtection/>
  <mergeCells count="2">
    <mergeCell ref="A1:B1"/>
    <mergeCell ref="E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F19"/>
  <sheetViews>
    <sheetView workbookViewId="0" topLeftCell="A4">
      <selection activeCell="C26" sqref="C26"/>
    </sheetView>
  </sheetViews>
  <sheetFormatPr defaultColWidth="9.00390625" defaultRowHeight="16.5"/>
  <cols>
    <col min="1" max="1" width="16.75390625" style="43" customWidth="1"/>
    <col min="2" max="2" width="19.50390625" style="43" customWidth="1"/>
    <col min="3" max="3" width="11.75390625" style="43" customWidth="1"/>
    <col min="4" max="4" width="15.125" style="43" customWidth="1"/>
    <col min="5" max="5" width="14.50390625" style="43" customWidth="1"/>
    <col min="6" max="16384" width="9.00390625" style="43" customWidth="1"/>
  </cols>
  <sheetData>
    <row r="1" spans="1:5" ht="28.5" customHeight="1">
      <c r="A1" s="134" t="s">
        <v>110</v>
      </c>
      <c r="B1" s="134"/>
      <c r="D1" s="134" t="s">
        <v>110</v>
      </c>
      <c r="E1" s="134"/>
    </row>
    <row r="2" spans="1:6" ht="16.5">
      <c r="A2" s="61" t="s">
        <v>157</v>
      </c>
      <c r="B2" s="75">
        <v>0.02</v>
      </c>
      <c r="D2" s="61" t="s">
        <v>157</v>
      </c>
      <c r="E2" s="75">
        <v>0.02</v>
      </c>
      <c r="F2" s="43"/>
    </row>
    <row r="3" spans="1:5" ht="18" customHeight="1">
      <c r="A3" s="61" t="s">
        <v>116</v>
      </c>
      <c r="B3" s="62">
        <v>-8000</v>
      </c>
      <c r="D3" s="61" t="s">
        <v>116</v>
      </c>
      <c r="E3" s="62">
        <v>-8000</v>
      </c>
    </row>
    <row r="4" spans="1:5" ht="18" customHeight="1">
      <c r="A4" s="61" t="s">
        <v>112</v>
      </c>
      <c r="B4" s="62">
        <f>12*5</f>
        <v>60</v>
      </c>
      <c r="D4" s="61" t="s">
        <v>112</v>
      </c>
      <c r="E4" s="62">
        <f>12*5</f>
        <v>60</v>
      </c>
    </row>
    <row r="5" spans="1:5" ht="18" customHeight="1">
      <c r="A5" s="63" t="s">
        <v>164</v>
      </c>
      <c r="B5" s="64">
        <f>FV(B2/12,B4,B3)</f>
        <v>504378.8473479544</v>
      </c>
      <c r="C5" s="51"/>
      <c r="D5" s="61" t="s">
        <v>161</v>
      </c>
      <c r="E5" s="62">
        <v>10000</v>
      </c>
    </row>
    <row r="6" spans="1:6" ht="18" customHeight="1">
      <c r="A6" s="71"/>
      <c r="B6" s="71"/>
      <c r="D6" s="63" t="s">
        <v>164</v>
      </c>
      <c r="E6" s="64">
        <f>FV(E2/12,E4,E3,PV(E2,E4,,E5,))</f>
        <v>507746.9319463966</v>
      </c>
      <c r="F6" s="51"/>
    </row>
    <row r="7" spans="1:2" ht="18" customHeight="1">
      <c r="A7" s="72"/>
      <c r="B7" s="73"/>
    </row>
    <row r="8" spans="1:3" ht="18" customHeight="1">
      <c r="A8" s="22" t="s">
        <v>162</v>
      </c>
      <c r="B8" s="73"/>
      <c r="C8" s="51"/>
    </row>
    <row r="9" spans="1:3" ht="18" customHeight="1">
      <c r="A9" s="22" t="s">
        <v>163</v>
      </c>
      <c r="B9" s="73"/>
      <c r="C9" s="51"/>
    </row>
    <row r="10" spans="1:3" ht="18" customHeight="1">
      <c r="A10" s="74"/>
      <c r="B10" s="73"/>
      <c r="C10" s="51"/>
    </row>
    <row r="11" spans="2:3" ht="16.5">
      <c r="B11" s="51"/>
      <c r="C11" s="51"/>
    </row>
    <row r="12" spans="2:3" ht="16.5">
      <c r="B12" s="51"/>
      <c r="C12" s="51"/>
    </row>
    <row r="13" spans="2:3" ht="16.5">
      <c r="B13" s="51"/>
      <c r="C13" s="51"/>
    </row>
    <row r="14" spans="1:3" ht="16.5">
      <c r="A14" s="22" t="s">
        <v>128</v>
      </c>
      <c r="B14" s="51"/>
      <c r="C14" s="51"/>
    </row>
    <row r="15" ht="16.5">
      <c r="A15" s="53" t="s">
        <v>123</v>
      </c>
    </row>
    <row r="16" ht="16.5">
      <c r="A16" s="53" t="s">
        <v>124</v>
      </c>
    </row>
    <row r="17" ht="16.5">
      <c r="A17" s="53" t="s">
        <v>125</v>
      </c>
    </row>
    <row r="18" ht="16.5">
      <c r="A18" s="53" t="s">
        <v>129</v>
      </c>
    </row>
    <row r="19" ht="16.5">
      <c r="A19" s="53" t="s">
        <v>130</v>
      </c>
    </row>
  </sheetData>
  <mergeCells count="2">
    <mergeCell ref="A1:B1"/>
    <mergeCell ref="D1:E1"/>
  </mergeCells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21"/>
  <sheetViews>
    <sheetView workbookViewId="0" topLeftCell="A1">
      <selection activeCell="H2" sqref="H2"/>
    </sheetView>
  </sheetViews>
  <sheetFormatPr defaultColWidth="9.00390625" defaultRowHeight="16.5"/>
  <cols>
    <col min="1" max="1" width="16.75390625" style="43" customWidth="1"/>
    <col min="2" max="2" width="19.50390625" style="43" customWidth="1"/>
    <col min="3" max="3" width="5.75390625" style="43" customWidth="1"/>
    <col min="4" max="4" width="16.125" style="43" customWidth="1"/>
    <col min="5" max="5" width="15.625" style="43" customWidth="1"/>
    <col min="6" max="6" width="6.00390625" style="43" customWidth="1"/>
    <col min="7" max="7" width="14.625" style="43" customWidth="1"/>
    <col min="8" max="8" width="14.125" style="43" customWidth="1"/>
    <col min="9" max="16384" width="9.00390625" style="43" customWidth="1"/>
  </cols>
  <sheetData>
    <row r="1" spans="1:8" ht="28.5" customHeight="1" thickTop="1">
      <c r="A1" s="135" t="s">
        <v>229</v>
      </c>
      <c r="B1" s="136"/>
      <c r="D1" s="135" t="s">
        <v>228</v>
      </c>
      <c r="E1" s="136"/>
      <c r="G1" s="135" t="s">
        <v>110</v>
      </c>
      <c r="H1" s="136"/>
    </row>
    <row r="2" spans="1:8" ht="18" customHeight="1">
      <c r="A2" s="44" t="s">
        <v>113</v>
      </c>
      <c r="B2" s="45">
        <v>2200000</v>
      </c>
      <c r="D2" s="44" t="s">
        <v>113</v>
      </c>
      <c r="E2" s="45">
        <v>3000000</v>
      </c>
      <c r="G2" s="44" t="s">
        <v>225</v>
      </c>
      <c r="H2" s="45">
        <v>1000000</v>
      </c>
    </row>
    <row r="3" spans="1:8" ht="18" customHeight="1">
      <c r="A3" s="44" t="s">
        <v>114</v>
      </c>
      <c r="B3" s="46">
        <v>20</v>
      </c>
      <c r="D3" s="44" t="s">
        <v>114</v>
      </c>
      <c r="E3" s="46">
        <v>20</v>
      </c>
      <c r="G3" s="44" t="s">
        <v>226</v>
      </c>
      <c r="H3" s="46">
        <v>4</v>
      </c>
    </row>
    <row r="4" spans="1:8" ht="18" customHeight="1">
      <c r="A4" s="47"/>
      <c r="B4" s="46"/>
      <c r="D4" s="47"/>
      <c r="E4" s="46"/>
      <c r="G4" s="47"/>
      <c r="H4" s="46"/>
    </row>
    <row r="5" spans="1:8" ht="18" customHeight="1">
      <c r="A5" s="48" t="s">
        <v>111</v>
      </c>
      <c r="B5" s="49" t="s">
        <v>115</v>
      </c>
      <c r="D5" s="48" t="s">
        <v>223</v>
      </c>
      <c r="E5" s="49" t="s">
        <v>115</v>
      </c>
      <c r="G5" s="48" t="s">
        <v>224</v>
      </c>
      <c r="H5" s="49" t="s">
        <v>227</v>
      </c>
    </row>
    <row r="6" spans="1:8" ht="18" customHeight="1">
      <c r="A6" s="47">
        <v>0.035</v>
      </c>
      <c r="B6" s="50">
        <f>PMT(A6/12,$B$3*12,$B$2)</f>
        <v>-12759.113795628067</v>
      </c>
      <c r="C6" s="51"/>
      <c r="D6" s="109">
        <v>0.07</v>
      </c>
      <c r="E6" s="50">
        <f>PMT(D6/12,E3*12,E2)</f>
        <v>-23258.968068566206</v>
      </c>
      <c r="G6" s="111">
        <v>0.02</v>
      </c>
      <c r="H6" s="64">
        <f>PMT(G6/12,H3*12,,H2)</f>
        <v>-20028.456972672833</v>
      </c>
    </row>
    <row r="7" spans="1:8" ht="18" customHeight="1">
      <c r="A7" s="47">
        <v>0.06</v>
      </c>
      <c r="B7" s="50">
        <f>PMT(A7/12,$B$3*12,$B$2)</f>
        <v>-15761.483286519877</v>
      </c>
      <c r="C7" s="51"/>
      <c r="D7" s="109"/>
      <c r="E7" s="50"/>
      <c r="G7" s="111">
        <v>0.05</v>
      </c>
      <c r="H7" s="64">
        <f>PMT(G7/12,H3*12,,H2)</f>
        <v>-18862.626903979766</v>
      </c>
    </row>
    <row r="8" spans="1:8" ht="18" customHeight="1">
      <c r="A8" s="47">
        <v>0.07</v>
      </c>
      <c r="B8" s="50">
        <f>PMT(A8/12,$B$3*12,$B$2)</f>
        <v>-17056.576583615217</v>
      </c>
      <c r="C8" s="51"/>
      <c r="D8" s="109"/>
      <c r="E8" s="50"/>
      <c r="G8" s="110"/>
      <c r="H8" s="56"/>
    </row>
    <row r="9" spans="1:8" ht="18" customHeight="1" thickBot="1">
      <c r="A9" s="52">
        <v>0.08</v>
      </c>
      <c r="B9" s="50">
        <f>PMT(A9/12,$B$3*12,$B$2)</f>
        <v>-18401.681517856243</v>
      </c>
      <c r="C9" s="51"/>
      <c r="D9" s="109"/>
      <c r="E9" s="52"/>
      <c r="G9" s="110"/>
      <c r="H9" s="56"/>
    </row>
    <row r="10" spans="2:3" ht="17.25" thickTop="1">
      <c r="B10" s="51"/>
      <c r="C10" s="51"/>
    </row>
    <row r="11" spans="2:3" ht="16.5">
      <c r="B11" s="51"/>
      <c r="C11" s="51"/>
    </row>
    <row r="12" spans="2:3" ht="16.5">
      <c r="B12" s="51"/>
      <c r="C12" s="51"/>
    </row>
    <row r="13" spans="2:3" ht="16.5">
      <c r="B13" s="51"/>
      <c r="C13" s="51"/>
    </row>
    <row r="14" spans="2:3" ht="16.5">
      <c r="B14" s="51"/>
      <c r="C14" s="51"/>
    </row>
    <row r="15" spans="1:3" ht="16.5">
      <c r="A15" s="22" t="s">
        <v>210</v>
      </c>
      <c r="B15" s="51"/>
      <c r="C15" s="51"/>
    </row>
    <row r="16" spans="1:3" ht="16.5">
      <c r="A16" s="94" t="s">
        <v>212</v>
      </c>
      <c r="B16" s="51"/>
      <c r="C16" s="51"/>
    </row>
    <row r="17" ht="16.5">
      <c r="A17" s="53" t="s">
        <v>211</v>
      </c>
    </row>
    <row r="18" ht="16.5">
      <c r="A18" s="53" t="s">
        <v>124</v>
      </c>
    </row>
    <row r="19" ht="16.5">
      <c r="A19" s="53" t="s">
        <v>131</v>
      </c>
    </row>
    <row r="20" ht="16.5">
      <c r="A20" s="53" t="s">
        <v>126</v>
      </c>
    </row>
    <row r="21" ht="16.5">
      <c r="A21" s="53" t="s">
        <v>132</v>
      </c>
    </row>
  </sheetData>
  <mergeCells count="3">
    <mergeCell ref="A1:B1"/>
    <mergeCell ref="D1:E1"/>
    <mergeCell ref="G1:H1"/>
  </mergeCells>
  <printOptions/>
  <pageMargins left="0.75" right="0.75" top="1" bottom="1" header="0.5" footer="0.5"/>
  <pageSetup orientation="portrait" paperSize="9"/>
  <headerFooter alignWithMargins="0">
    <oddHeader>&amp;C&amp;A</oddHeader>
    <oddFooter>&amp;C第 &amp;P 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7" sqref="B7"/>
    </sheetView>
  </sheetViews>
  <sheetFormatPr defaultColWidth="9.00390625" defaultRowHeight="16.5"/>
  <cols>
    <col min="1" max="1" width="18.625" style="0" customWidth="1"/>
    <col min="2" max="2" width="15.125" style="0" customWidth="1"/>
  </cols>
  <sheetData>
    <row r="1" spans="1:2" ht="26.25" thickTop="1">
      <c r="A1" s="135" t="s">
        <v>110</v>
      </c>
      <c r="B1" s="136"/>
    </row>
    <row r="2" spans="1:2" ht="16.5">
      <c r="A2" s="44" t="s">
        <v>113</v>
      </c>
      <c r="B2" s="45">
        <v>3000000</v>
      </c>
    </row>
    <row r="3" spans="1:2" ht="16.5">
      <c r="A3" s="44" t="s">
        <v>114</v>
      </c>
      <c r="B3" s="46">
        <v>20</v>
      </c>
    </row>
    <row r="4" spans="1:2" ht="16.5">
      <c r="A4" s="47"/>
      <c r="B4" s="46"/>
    </row>
    <row r="5" spans="1:2" ht="16.5">
      <c r="A5" s="48" t="s">
        <v>111</v>
      </c>
      <c r="B5" s="49" t="s">
        <v>115</v>
      </c>
    </row>
    <row r="6" spans="1:2" ht="16.5">
      <c r="A6" s="47">
        <v>0.035</v>
      </c>
      <c r="B6" s="50">
        <f>PMT(A6/12,$B$3*12,$B$2)</f>
        <v>-17398.79153949282</v>
      </c>
    </row>
    <row r="7" spans="1:2" s="55" customFormat="1" ht="16.5">
      <c r="A7" s="47">
        <v>0.06</v>
      </c>
      <c r="B7" s="50">
        <f>PMT(A7/12,$B$3*12,$B$2)</f>
        <v>-21492.931754345285</v>
      </c>
    </row>
    <row r="8" spans="1:2" ht="16.5">
      <c r="A8" s="47">
        <v>0.07</v>
      </c>
      <c r="B8" s="50">
        <f>PMT(A8/12,$B$3*12,$B$2)</f>
        <v>-23258.968068566206</v>
      </c>
    </row>
    <row r="9" spans="1:2" ht="16.5">
      <c r="A9" s="76">
        <v>0.08</v>
      </c>
      <c r="B9" s="70">
        <f>PMT(A9/12,$B$3*12,$B$2)</f>
        <v>-25093.20206980397</v>
      </c>
    </row>
    <row r="10" spans="1:2" ht="16.5">
      <c r="A10" s="77">
        <v>0.045</v>
      </c>
      <c r="B10" s="67">
        <f>PMT(A10/12,$B$3*12,$B$2)</f>
        <v>-18979.48128659911</v>
      </c>
    </row>
    <row r="11" spans="1:2" ht="16.5">
      <c r="A11" s="77">
        <v>0.045</v>
      </c>
      <c r="B11" s="67">
        <f>ABS(PMT(A11/12,$B$3*12,$B$2))</f>
        <v>18979.48128659911</v>
      </c>
    </row>
    <row r="12" spans="1:2" ht="16.5">
      <c r="A12" s="22" t="s">
        <v>150</v>
      </c>
      <c r="B12" s="55"/>
    </row>
    <row r="13" ht="16.5">
      <c r="A13" s="22" t="s">
        <v>151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D26"/>
  <sheetViews>
    <sheetView workbookViewId="0" topLeftCell="A7">
      <selection activeCell="J13" sqref="J13"/>
    </sheetView>
  </sheetViews>
  <sheetFormatPr defaultColWidth="9.00390625" defaultRowHeight="16.5"/>
  <cols>
    <col min="1" max="1" width="15.75390625" style="0" customWidth="1"/>
    <col min="2" max="2" width="17.50390625" style="0" customWidth="1"/>
  </cols>
  <sheetData>
    <row r="1" spans="1:4" ht="26.25" thickTop="1">
      <c r="A1" s="135" t="s">
        <v>110</v>
      </c>
      <c r="B1" s="136"/>
      <c r="D1" s="22" t="s">
        <v>165</v>
      </c>
    </row>
    <row r="2" spans="1:4" ht="16.5">
      <c r="A2" s="44" t="s">
        <v>113</v>
      </c>
      <c r="B2" s="95">
        <v>-1000000</v>
      </c>
      <c r="D2" s="22" t="s">
        <v>166</v>
      </c>
    </row>
    <row r="3" spans="1:2" ht="16.5">
      <c r="A3" s="44" t="s">
        <v>204</v>
      </c>
      <c r="B3" s="96">
        <v>7500</v>
      </c>
    </row>
    <row r="4" spans="1:2" ht="16.5">
      <c r="A4" s="44" t="s">
        <v>114</v>
      </c>
      <c r="B4" s="95">
        <v>10</v>
      </c>
    </row>
    <row r="5" spans="1:2" ht="16.5">
      <c r="A5" s="44" t="s">
        <v>203</v>
      </c>
      <c r="B5" s="97">
        <f>RATE(B4,B3*12,,B2)</f>
        <v>0.02319657440916064</v>
      </c>
    </row>
    <row r="6" spans="1:2" ht="16.5">
      <c r="A6" s="71"/>
      <c r="B6" s="71"/>
    </row>
    <row r="7" spans="1:2" ht="17.25" thickBot="1">
      <c r="A7" s="74"/>
      <c r="B7" s="73"/>
    </row>
    <row r="8" spans="1:4" ht="26.25" thickTop="1">
      <c r="A8" s="135" t="s">
        <v>205</v>
      </c>
      <c r="B8" s="136"/>
      <c r="D8" s="22" t="s">
        <v>167</v>
      </c>
    </row>
    <row r="9" spans="1:4" ht="16.5">
      <c r="A9" s="44" t="s">
        <v>113</v>
      </c>
      <c r="B9" s="98">
        <v>-300000</v>
      </c>
      <c r="D9" s="22" t="s">
        <v>168</v>
      </c>
    </row>
    <row r="10" spans="1:2" ht="16.5">
      <c r="A10" s="44" t="s">
        <v>206</v>
      </c>
      <c r="B10" s="92">
        <v>16000</v>
      </c>
    </row>
    <row r="11" spans="1:2" ht="16.5">
      <c r="A11" s="44" t="s">
        <v>114</v>
      </c>
      <c r="B11" s="92">
        <v>2</v>
      </c>
    </row>
    <row r="12" spans="1:2" ht="27" customHeight="1">
      <c r="A12" s="126" t="s">
        <v>203</v>
      </c>
      <c r="B12" s="127">
        <f>RATE(B11,B10*12,B9)</f>
        <v>0.18162636914152067</v>
      </c>
    </row>
    <row r="20" ht="16.5">
      <c r="A20" s="22" t="s">
        <v>207</v>
      </c>
    </row>
    <row r="21" ht="16.5">
      <c r="A21" s="93" t="s">
        <v>208</v>
      </c>
    </row>
    <row r="22" ht="16.5">
      <c r="A22" s="53" t="s">
        <v>124</v>
      </c>
    </row>
    <row r="23" ht="16.5">
      <c r="A23" s="53" t="s">
        <v>209</v>
      </c>
    </row>
    <row r="24" ht="16.5">
      <c r="A24" s="53" t="s">
        <v>133</v>
      </c>
    </row>
    <row r="25" ht="16.5">
      <c r="A25" s="53" t="s">
        <v>134</v>
      </c>
    </row>
    <row r="26" ht="16.5">
      <c r="A26" s="53" t="s">
        <v>132</v>
      </c>
    </row>
  </sheetData>
  <mergeCells count="2">
    <mergeCell ref="A1:B1"/>
    <mergeCell ref="A8:B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B28"/>
  <sheetViews>
    <sheetView workbookViewId="0" topLeftCell="A1">
      <selection activeCell="B5" sqref="B5"/>
    </sheetView>
  </sheetViews>
  <sheetFormatPr defaultColWidth="9.00390625" defaultRowHeight="16.5"/>
  <cols>
    <col min="1" max="1" width="18.375" style="0" customWidth="1"/>
    <col min="2" max="2" width="20.00390625" style="0" customWidth="1"/>
  </cols>
  <sheetData>
    <row r="1" spans="1:2" ht="26.25" thickTop="1">
      <c r="A1" s="135" t="s">
        <v>230</v>
      </c>
      <c r="B1" s="136"/>
    </row>
    <row r="2" spans="1:2" ht="16.5">
      <c r="A2" s="113" t="s">
        <v>225</v>
      </c>
      <c r="B2" s="128">
        <v>600000</v>
      </c>
    </row>
    <row r="3" spans="1:2" ht="16.5">
      <c r="A3" s="113" t="s">
        <v>232</v>
      </c>
      <c r="B3" s="112">
        <v>0.0205</v>
      </c>
    </row>
    <row r="4" spans="1:2" ht="16.5">
      <c r="A4" s="113" t="s">
        <v>231</v>
      </c>
      <c r="B4" s="92">
        <v>17000</v>
      </c>
    </row>
    <row r="5" spans="1:2" ht="30" customHeight="1">
      <c r="A5" s="114" t="s">
        <v>226</v>
      </c>
      <c r="B5" s="99">
        <f>NPER($B$3/12,$B$4,,-$B$2,1)</f>
        <v>34.243472900151794</v>
      </c>
    </row>
    <row r="13" ht="16.5">
      <c r="A13" s="22" t="s">
        <v>169</v>
      </c>
    </row>
    <row r="14" ht="16.5">
      <c r="A14" s="22" t="s">
        <v>170</v>
      </c>
    </row>
    <row r="19" ht="16.5">
      <c r="A19" s="22" t="s">
        <v>135</v>
      </c>
    </row>
    <row r="20" ht="16.5">
      <c r="A20" s="53" t="s">
        <v>123</v>
      </c>
    </row>
    <row r="21" ht="16.5">
      <c r="A21" s="53" t="s">
        <v>125</v>
      </c>
    </row>
    <row r="22" ht="16.5">
      <c r="A22" s="53" t="s">
        <v>133</v>
      </c>
    </row>
    <row r="23" ht="16.5">
      <c r="A23" s="53" t="s">
        <v>134</v>
      </c>
    </row>
    <row r="24" ht="16.5">
      <c r="A24" s="53" t="s">
        <v>127</v>
      </c>
    </row>
    <row r="27" ht="16.5">
      <c r="B27">
        <f>NPER(2%/12,20000*12,,2000000,1)</f>
        <v>-8.384663743580557</v>
      </c>
    </row>
    <row r="28" ht="16.5">
      <c r="B28">
        <f>NPER(2%,240000,,-2000000,1)</f>
        <v>7.642704507641112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C19"/>
  <sheetViews>
    <sheetView workbookViewId="0" topLeftCell="A1">
      <selection activeCell="D8" sqref="D8"/>
    </sheetView>
  </sheetViews>
  <sheetFormatPr defaultColWidth="9.00390625" defaultRowHeight="16.5"/>
  <cols>
    <col min="1" max="1" width="12.875" style="0" customWidth="1"/>
    <col min="2" max="2" width="12.50390625" style="0" customWidth="1"/>
    <col min="3" max="3" width="20.625" style="0" customWidth="1"/>
  </cols>
  <sheetData>
    <row r="1" spans="1:3" ht="17.25" thickBot="1">
      <c r="A1" s="90" t="s">
        <v>194</v>
      </c>
      <c r="B1" s="89">
        <v>-800000</v>
      </c>
      <c r="C1" s="88" t="s">
        <v>202</v>
      </c>
    </row>
    <row r="2" spans="1:2" ht="17.25" thickTop="1">
      <c r="A2" s="91" t="s">
        <v>195</v>
      </c>
      <c r="B2">
        <v>150000</v>
      </c>
    </row>
    <row r="3" spans="1:2" ht="16.5">
      <c r="A3" s="91" t="s">
        <v>196</v>
      </c>
      <c r="B3">
        <v>175000</v>
      </c>
    </row>
    <row r="4" spans="1:2" ht="16.5">
      <c r="A4" s="91" t="s">
        <v>197</v>
      </c>
      <c r="B4">
        <v>200000</v>
      </c>
    </row>
    <row r="5" spans="1:2" ht="16.5">
      <c r="A5" s="91" t="s">
        <v>198</v>
      </c>
      <c r="B5">
        <v>210000</v>
      </c>
    </row>
    <row r="6" spans="1:2" ht="16.5">
      <c r="A6" s="91" t="s">
        <v>199</v>
      </c>
      <c r="B6">
        <v>220000</v>
      </c>
    </row>
    <row r="7" spans="1:3" ht="17.25" thickBot="1">
      <c r="A7" s="90" t="s">
        <v>200</v>
      </c>
      <c r="B7" s="88">
        <v>230000</v>
      </c>
      <c r="C7" s="88"/>
    </row>
    <row r="8" spans="1:3" ht="26.25" customHeight="1" thickBot="1" thickTop="1">
      <c r="A8" s="123" t="s">
        <v>201</v>
      </c>
      <c r="B8" s="124">
        <f>IRR(B1:B7)</f>
        <v>0.11613654562702919</v>
      </c>
      <c r="C8" s="123"/>
    </row>
    <row r="9" ht="17.25" thickTop="1"/>
    <row r="11" ht="16.5">
      <c r="A11" s="22" t="s">
        <v>171</v>
      </c>
    </row>
    <row r="17" ht="16.5">
      <c r="A17" s="22" t="s">
        <v>136</v>
      </c>
    </row>
    <row r="18" ht="16.5">
      <c r="A18" s="53" t="s">
        <v>137</v>
      </c>
    </row>
    <row r="19" ht="16.5">
      <c r="A19" s="53" t="s">
        <v>138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18"/>
  <sheetViews>
    <sheetView workbookViewId="0" topLeftCell="A1">
      <selection activeCell="B8" sqref="B8"/>
    </sheetView>
  </sheetViews>
  <sheetFormatPr defaultColWidth="9.00390625" defaultRowHeight="16.5"/>
  <cols>
    <col min="1" max="1" width="16.75390625" style="0" customWidth="1"/>
    <col min="2" max="2" width="12.50390625" style="0" customWidth="1"/>
    <col min="3" max="3" width="20.625" style="0" customWidth="1"/>
  </cols>
  <sheetData>
    <row r="1" spans="1:3" ht="21">
      <c r="A1" s="137" t="s">
        <v>241</v>
      </c>
      <c r="B1" s="137"/>
      <c r="C1" s="137"/>
    </row>
    <row r="2" spans="1:3" ht="17.25" thickBot="1">
      <c r="A2" s="91" t="s">
        <v>236</v>
      </c>
      <c r="B2" s="118">
        <v>-100000</v>
      </c>
      <c r="C2" s="88" t="s">
        <v>235</v>
      </c>
    </row>
    <row r="3" spans="1:3" ht="18" thickBot="1" thickTop="1">
      <c r="A3" s="91" t="s">
        <v>237</v>
      </c>
      <c r="B3" s="118">
        <v>-100000</v>
      </c>
      <c r="C3" s="88"/>
    </row>
    <row r="4" spans="1:2" ht="17.25" thickTop="1">
      <c r="A4" s="122" t="s">
        <v>243</v>
      </c>
      <c r="B4" s="117">
        <v>5000</v>
      </c>
    </row>
    <row r="5" spans="1:2" ht="16.5">
      <c r="A5" s="122" t="s">
        <v>238</v>
      </c>
      <c r="B5" s="117">
        <v>5000</v>
      </c>
    </row>
    <row r="6" spans="1:2" ht="16.5">
      <c r="A6" s="122" t="s">
        <v>239</v>
      </c>
      <c r="B6" s="117">
        <v>5000</v>
      </c>
    </row>
    <row r="7" spans="1:3" ht="17.25" thickBot="1">
      <c r="A7" s="122" t="s">
        <v>240</v>
      </c>
      <c r="B7" s="119">
        <v>200000</v>
      </c>
      <c r="C7" s="88"/>
    </row>
    <row r="8" spans="1:2" ht="17.25" thickTop="1">
      <c r="A8" s="120" t="s">
        <v>242</v>
      </c>
      <c r="B8" s="121">
        <f>IRR(B1:B7)</f>
        <v>0.01672576842429979</v>
      </c>
    </row>
    <row r="11" ht="16.5">
      <c r="A11" t="s">
        <v>244</v>
      </c>
    </row>
    <row r="16" ht="16.5">
      <c r="A16" s="22" t="s">
        <v>136</v>
      </c>
    </row>
    <row r="17" ht="16.5">
      <c r="A17" s="53" t="s">
        <v>137</v>
      </c>
    </row>
    <row r="18" ht="16.5">
      <c r="A18" s="53" t="s">
        <v>138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NTU</cp:lastModifiedBy>
  <cp:lastPrinted>2006-04-20T03:57:15Z</cp:lastPrinted>
  <dcterms:created xsi:type="dcterms:W3CDTF">2001-06-01T09:34:51Z</dcterms:created>
  <dcterms:modified xsi:type="dcterms:W3CDTF">2007-08-30T07:25:51Z</dcterms:modified>
  <cp:category/>
  <cp:version/>
  <cp:contentType/>
  <cp:contentStatus/>
</cp:coreProperties>
</file>